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jesiel.filho\ppsa.gov.br\Rede - LICITAÇÕES CONTRATOS\Processos Licitatórios\2019\Licitação Internacional - LI\PI-PPSA-1001-2019 - SW Análise de Incertezas\"/>
    </mc:Choice>
  </mc:AlternateContent>
  <bookViews>
    <workbookView xWindow="0" yWindow="0" windowWidth="28800" windowHeight="11700"/>
  </bookViews>
  <sheets>
    <sheet name="Tabela 1 - Apenso 2 - Edital" sheetId="13" r:id="rId1"/>
    <sheet name="Detalhamento Valores - Módulos" sheetId="18" r:id="rId2"/>
    <sheet name="RESUMO (modificado)" sheetId="16" state="hidden" r:id="rId3"/>
    <sheet name="Português (modificado)" sheetId="11" state="hidden" r:id="rId4"/>
    <sheet name="RESUMO" sheetId="15" state="hidden" r:id="rId5"/>
    <sheet name="Português" sheetId="12" state="hidden" r:id="rId6"/>
  </sheets>
  <externalReferences>
    <externalReference r:id="rId7"/>
  </externalReferences>
  <definedNames>
    <definedName name="_xlnm.Print_Area" localSheetId="4">RESUMO!$B$2:$E$21</definedName>
    <definedName name="_xlnm.Print_Area" localSheetId="2">'RESUMO (modificado)'!$B$2:$E$21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3" l="1"/>
  <c r="H11" i="13" l="1"/>
  <c r="I17" i="13" l="1"/>
  <c r="I16" i="13"/>
  <c r="I15" i="13"/>
  <c r="E4" i="13" l="1"/>
  <c r="E6" i="13" s="1"/>
  <c r="E8" i="13" s="1"/>
  <c r="F7" i="13"/>
  <c r="E17" i="13" l="1"/>
  <c r="E9" i="13"/>
  <c r="H7" i="15"/>
  <c r="J6" i="15"/>
  <c r="C7" i="15"/>
  <c r="E6" i="15"/>
  <c r="F5" i="13"/>
  <c r="E18" i="13"/>
  <c r="G6" i="11" l="1"/>
  <c r="G7" i="11" s="1"/>
  <c r="F5" i="11"/>
  <c r="I6" i="15"/>
  <c r="F6" i="12"/>
  <c r="F5" i="12"/>
  <c r="F6" i="11" l="1"/>
  <c r="F7" i="11" s="1"/>
  <c r="D5" i="16" s="1"/>
  <c r="G4" i="12"/>
  <c r="D7" i="16"/>
  <c r="I7" i="16"/>
  <c r="G4" i="11"/>
  <c r="I5" i="16"/>
  <c r="F7" i="12"/>
  <c r="E14" i="12" s="1"/>
  <c r="G6" i="12"/>
  <c r="G7" i="12" s="1"/>
  <c r="D7" i="15" s="1"/>
  <c r="E7" i="15" s="1"/>
  <c r="F18" i="13"/>
  <c r="F6" i="13" s="1"/>
  <c r="F8" i="13" s="1"/>
  <c r="E10" i="11" l="1"/>
  <c r="G10" i="11" s="1"/>
  <c r="F17" i="13"/>
  <c r="E10" i="12"/>
  <c r="G10" i="12" s="1"/>
  <c r="E14" i="11"/>
  <c r="G14" i="11" s="1"/>
  <c r="G16" i="11" s="1"/>
  <c r="J12" i="16" s="1"/>
  <c r="F4" i="12"/>
  <c r="C5" i="15" s="1"/>
  <c r="C8" i="15" s="1"/>
  <c r="H5" i="15"/>
  <c r="H8" i="15" s="1"/>
  <c r="G14" i="12"/>
  <c r="G16" i="12" s="1"/>
  <c r="H5" i="16"/>
  <c r="H8" i="16" s="1"/>
  <c r="I5" i="15"/>
  <c r="E7" i="16"/>
  <c r="J7" i="16"/>
  <c r="I7" i="15"/>
  <c r="J7" i="15" s="1"/>
  <c r="D5" i="15"/>
  <c r="F3" i="13" l="1"/>
  <c r="F4" i="13"/>
  <c r="F4" i="11"/>
  <c r="C5" i="16" s="1"/>
  <c r="G15" i="12"/>
  <c r="G18" i="12" s="1"/>
  <c r="G11" i="12"/>
  <c r="J11" i="15" s="1"/>
  <c r="E5" i="15"/>
  <c r="F10" i="12"/>
  <c r="J5" i="15"/>
  <c r="J8" i="15" s="1"/>
  <c r="J5" i="16"/>
  <c r="J16" i="16" s="1"/>
  <c r="G13" i="11"/>
  <c r="G15" i="11"/>
  <c r="G11" i="11"/>
  <c r="J12" i="15"/>
  <c r="G13" i="12"/>
  <c r="G27" i="12"/>
  <c r="F9" i="13" l="1"/>
  <c r="F10" i="13" s="1"/>
  <c r="F10" i="11"/>
  <c r="F11" i="11" s="1"/>
  <c r="G12" i="12"/>
  <c r="E16" i="15"/>
  <c r="E8" i="15"/>
  <c r="J16" i="15"/>
  <c r="F12" i="12"/>
  <c r="F11" i="12"/>
  <c r="J8" i="16"/>
  <c r="E5" i="16"/>
  <c r="C8" i="16"/>
  <c r="J15" i="16"/>
  <c r="J11" i="16"/>
  <c r="G12" i="11"/>
  <c r="G18" i="11"/>
  <c r="J14" i="16" s="1"/>
  <c r="G17" i="11"/>
  <c r="J14" i="15"/>
  <c r="J15" i="15"/>
  <c r="G17" i="12"/>
  <c r="G19" i="12" s="1"/>
  <c r="F11" i="13" l="1"/>
  <c r="F12" i="13" s="1"/>
  <c r="F14" i="13"/>
  <c r="F12" i="11"/>
  <c r="F15" i="12"/>
  <c r="F14" i="12"/>
  <c r="E11" i="15"/>
  <c r="G19" i="11"/>
  <c r="G28" i="12"/>
  <c r="G29" i="12" s="1"/>
  <c r="F15" i="11"/>
  <c r="E11" i="16"/>
  <c r="F14" i="11"/>
  <c r="E16" i="16"/>
  <c r="E8" i="16"/>
  <c r="E29" i="11"/>
  <c r="F29" i="11" s="1"/>
  <c r="J13" i="16"/>
  <c r="J17" i="16" s="1"/>
  <c r="J21" i="16" s="1"/>
  <c r="J13" i="15"/>
  <c r="J17" i="15" s="1"/>
  <c r="J21" i="15" s="1"/>
  <c r="F13" i="13" l="1"/>
  <c r="F15" i="13"/>
  <c r="F16" i="13"/>
  <c r="F16" i="12"/>
  <c r="F13" i="12"/>
  <c r="F17" i="12"/>
  <c r="E13" i="15" s="1"/>
  <c r="F18" i="12"/>
  <c r="E14" i="15" s="1"/>
  <c r="J18" i="15"/>
  <c r="F17" i="11"/>
  <c r="E13" i="16" s="1"/>
  <c r="F18" i="11"/>
  <c r="E14" i="16" s="1"/>
  <c r="F16" i="11"/>
  <c r="F13" i="11"/>
  <c r="J18" i="16"/>
  <c r="F19" i="13" l="1"/>
  <c r="F19" i="12"/>
  <c r="E15" i="15"/>
  <c r="E12" i="15"/>
  <c r="F28" i="12"/>
  <c r="F29" i="12" s="1"/>
  <c r="F27" i="12"/>
  <c r="E15" i="16"/>
  <c r="F19" i="11"/>
  <c r="E12" i="16"/>
  <c r="E28" i="11"/>
  <c r="F28" i="11" s="1"/>
  <c r="E17" i="15" l="1"/>
  <c r="E21" i="15" s="1"/>
  <c r="E17" i="16"/>
  <c r="E21" i="16" s="1"/>
  <c r="E18" i="15" l="1"/>
  <c r="E18" i="16"/>
  <c r="E19" i="18" l="1"/>
  <c r="E10" i="13"/>
  <c r="E14" i="13" s="1"/>
  <c r="E11" i="13" l="1"/>
  <c r="E13" i="13" l="1"/>
  <c r="E15" i="13"/>
  <c r="E16" i="13" l="1"/>
  <c r="E12" i="13"/>
  <c r="E19" i="13" l="1"/>
  <c r="E20" i="13"/>
  <c r="E18" i="18" l="1"/>
  <c r="F7" i="18" s="1"/>
  <c r="F13" i="18" l="1"/>
  <c r="F10" i="18"/>
  <c r="F6" i="18"/>
  <c r="F3" i="18"/>
  <c r="F5" i="18"/>
  <c r="E20" i="18"/>
  <c r="F4" i="18"/>
  <c r="F12" i="18"/>
  <c r="F11" i="18"/>
  <c r="F14" i="18"/>
  <c r="F9" i="18"/>
  <c r="F8" i="18"/>
  <c r="F15" i="18"/>
  <c r="F18" i="18" l="1"/>
  <c r="F20" i="18" s="1"/>
</calcChain>
</file>

<file path=xl/comments1.xml><?xml version="1.0" encoding="utf-8"?>
<comments xmlns="http://schemas.openxmlformats.org/spreadsheetml/2006/main">
  <authors>
    <author>Rogério Paiva</author>
  </authors>
  <commentList>
    <comment ref="D27" authorId="0" shapeId="0">
      <text>
        <r>
          <rPr>
            <b/>
            <sz val="9"/>
            <color indexed="81"/>
            <rFont val="Segoe UI"/>
            <family val="2"/>
          </rPr>
          <t>Rogério Paiva:</t>
        </r>
        <r>
          <rPr>
            <sz val="9"/>
            <color indexed="81"/>
            <rFont val="Segoe UI"/>
            <family val="2"/>
          </rPr>
          <t xml:space="preserve">
IRF deve ser considerado apenas na forma SEM RETENÇÃO</t>
        </r>
      </text>
    </comment>
    <comment ref="F27" authorId="0" shapeId="0">
      <text>
        <r>
          <rPr>
            <b/>
            <sz val="9"/>
            <color indexed="81"/>
            <rFont val="Segoe UI"/>
            <family val="2"/>
          </rPr>
          <t>Rogério Paiva:</t>
        </r>
        <r>
          <rPr>
            <sz val="9"/>
            <color indexed="81"/>
            <rFont val="Segoe UI"/>
            <family val="2"/>
          </rPr>
          <t xml:space="preserve">
confere com F14</t>
        </r>
      </text>
    </comment>
    <comment ref="G27" authorId="0" shapeId="0">
      <text>
        <r>
          <rPr>
            <b/>
            <sz val="9"/>
            <color indexed="81"/>
            <rFont val="Segoe UI"/>
            <family val="2"/>
          </rPr>
          <t>Rogério Paiva:</t>
        </r>
        <r>
          <rPr>
            <sz val="9"/>
            <color indexed="81"/>
            <rFont val="Segoe UI"/>
            <family val="2"/>
          </rPr>
          <t xml:space="preserve">
confere com G14</t>
        </r>
      </text>
    </comment>
    <comment ref="F28" authorId="0" shapeId="0">
      <text>
        <r>
          <rPr>
            <b/>
            <sz val="9"/>
            <color indexed="81"/>
            <rFont val="Segoe UI"/>
            <family val="2"/>
          </rPr>
          <t>Rogério Paiva:</t>
        </r>
        <r>
          <rPr>
            <sz val="9"/>
            <color indexed="81"/>
            <rFont val="Segoe UI"/>
            <family val="2"/>
          </rPr>
          <t xml:space="preserve">
não confere com a célula F15</t>
        </r>
      </text>
    </comment>
    <comment ref="G28" authorId="0" shapeId="0">
      <text>
        <r>
          <rPr>
            <b/>
            <sz val="9"/>
            <color indexed="81"/>
            <rFont val="Segoe UI"/>
            <family val="2"/>
          </rPr>
          <t>Rogério Paiva:</t>
        </r>
        <r>
          <rPr>
            <sz val="9"/>
            <color indexed="81"/>
            <rFont val="Segoe UI"/>
            <family val="2"/>
          </rPr>
          <t xml:space="preserve">
não confere com a célula G15.</t>
        </r>
      </text>
    </comment>
  </commentList>
</comments>
</file>

<file path=xl/sharedStrings.xml><?xml version="1.0" encoding="utf-8"?>
<sst xmlns="http://schemas.openxmlformats.org/spreadsheetml/2006/main" count="352" uniqueCount="155">
  <si>
    <t>ITEM</t>
  </si>
  <si>
    <t>DESCRIÇÃO</t>
  </si>
  <si>
    <t>Valor da Proposta no Sistema ComprasNET</t>
  </si>
  <si>
    <t>Valor Fixo a ser pago pela PPSA</t>
  </si>
  <si>
    <t>=</t>
  </si>
  <si>
    <t>FÓRMULA DE CÁLCULO</t>
  </si>
  <si>
    <t>-</t>
  </si>
  <si>
    <t>Somatório dos itens (1 + 2 + 3)</t>
  </si>
  <si>
    <t>Treinamento</t>
  </si>
  <si>
    <t>% da Base de cálculo IRF (item 7)</t>
  </si>
  <si>
    <t>Valor da Invoice em US$ x Taxa de câmbio (item 4 x item 5)</t>
  </si>
  <si>
    <r>
      <t xml:space="preserve">   Base de cálculo </t>
    </r>
    <r>
      <rPr>
        <b/>
        <sz val="11"/>
        <color rgb="FFC00000"/>
        <rFont val="Calibri"/>
        <family val="2"/>
        <scheme val="minor"/>
      </rPr>
      <t xml:space="preserve">ISS </t>
    </r>
  </si>
  <si>
    <r>
      <t xml:space="preserve">   Base de cálculo </t>
    </r>
    <r>
      <rPr>
        <b/>
        <sz val="11"/>
        <color rgb="FFC00000"/>
        <rFont val="Calibri"/>
        <family val="2"/>
        <scheme val="minor"/>
      </rPr>
      <t>PIS/COFINS</t>
    </r>
  </si>
  <si>
    <t xml:space="preserve">      PIS</t>
  </si>
  <si>
    <t xml:space="preserve">      COFINS</t>
  </si>
  <si>
    <t xml:space="preserve">      IOF</t>
  </si>
  <si>
    <t xml:space="preserve">      ISS</t>
  </si>
  <si>
    <t xml:space="preserve">      CIDE</t>
  </si>
  <si>
    <r>
      <t xml:space="preserve">   Base de cálculo </t>
    </r>
    <r>
      <rPr>
        <b/>
        <sz val="11"/>
        <color rgb="FFC00000"/>
        <rFont val="Calibri"/>
        <family val="2"/>
        <scheme val="minor"/>
      </rPr>
      <t>IRF</t>
    </r>
    <r>
      <rPr>
        <b/>
        <sz val="11"/>
        <rFont val="Calibri"/>
        <family val="2"/>
        <scheme val="minor"/>
      </rPr>
      <t xml:space="preserve"> </t>
    </r>
  </si>
  <si>
    <t xml:space="preserve">       IRF</t>
  </si>
  <si>
    <t>Moeda</t>
  </si>
  <si>
    <t>US$</t>
  </si>
  <si>
    <t>R$</t>
  </si>
  <si>
    <t>MOD1</t>
  </si>
  <si>
    <t>MOD2</t>
  </si>
  <si>
    <t>MOD3</t>
  </si>
  <si>
    <t>MOD4</t>
  </si>
  <si>
    <t>MOD5</t>
  </si>
  <si>
    <t>US$/Módulo/Mês</t>
  </si>
  <si>
    <t>US$/mês</t>
  </si>
  <si>
    <t>[Preencher com nome e código de referência do módulo 1]</t>
  </si>
  <si>
    <t>[Preencher com nome e código de referência do módulo 2]</t>
  </si>
  <si>
    <t>[Preencher com nome e código de referência do módulo 3]</t>
  </si>
  <si>
    <t>[Preencher com nome e código de referência do módulo 4]</t>
  </si>
  <si>
    <t>[Preencher com nome e código de referência do módulo 5]</t>
  </si>
  <si>
    <t>Uma licença flutuante por 51 meses</t>
  </si>
  <si>
    <t>Três licenças flutuantes por 58 meses</t>
  </si>
  <si>
    <r>
      <t xml:space="preserve">Valor da taxa de câmbio PTAX </t>
    </r>
    <r>
      <rPr>
        <sz val="11"/>
        <rFont val="Calibri"/>
        <family val="2"/>
        <scheme val="minor"/>
      </rPr>
      <t>(dia anterior do pregão, atualizada a cada pagamento)</t>
    </r>
  </si>
  <si>
    <t>b</t>
  </si>
  <si>
    <t>a x IR%</t>
  </si>
  <si>
    <r>
      <t xml:space="preserve">Calculado após gross up, </t>
    </r>
    <r>
      <rPr>
        <sz val="11"/>
        <color rgb="FFFF0000"/>
        <rFont val="Calibri"/>
        <family val="2"/>
        <scheme val="minor"/>
      </rPr>
      <t xml:space="preserve">se for sem retenção do Imposto de Renda: </t>
    </r>
    <r>
      <rPr>
        <sz val="11"/>
        <rFont val="Calibri"/>
        <family val="2"/>
        <scheme val="minor"/>
      </rPr>
      <t>((I</t>
    </r>
    <r>
      <rPr>
        <sz val="11"/>
        <color theme="1"/>
        <rFont val="Calibri"/>
        <family val="2"/>
        <scheme val="minor"/>
      </rPr>
      <t xml:space="preserve">nvoice/(1-( IR/100) x IR)
</t>
    </r>
  </si>
  <si>
    <t>c</t>
  </si>
  <si>
    <t>a</t>
  </si>
  <si>
    <t>Se não houver retenção, será o valor da Invoice; caso contrario será o valor da Invoice menos o IRF.</t>
  </si>
  <si>
    <t>d</t>
  </si>
  <si>
    <t>f  x 10%</t>
  </si>
  <si>
    <t>Base da CIDE é =  valor desembolsado + IRF + ISS.</t>
  </si>
  <si>
    <t>e</t>
  </si>
  <si>
    <t>((b + c)/(1- (ISS%/100))</t>
  </si>
  <si>
    <t>Base do ISS é= valor desembolsado + IRF + ISS</t>
  </si>
  <si>
    <t>f</t>
  </si>
  <si>
    <t>Sem retenção de IR</t>
  </si>
  <si>
    <t>a + b / 1,157025 *</t>
  </si>
  <si>
    <r>
      <t xml:space="preserve">Base do PIS/COFINS é = valor desembolsado + IRF + ISS* + PIS/COFINS  
</t>
    </r>
    <r>
      <rPr>
        <b/>
        <i/>
        <sz val="11"/>
        <color rgb="FF0000FF"/>
        <rFont val="Calibri"/>
        <family val="2"/>
        <scheme val="minor"/>
      </rPr>
      <t>* Aliq do ISS de 5%</t>
    </r>
  </si>
  <si>
    <t xml:space="preserve">Com retenção de IR </t>
  </si>
  <si>
    <t>a / 1.157025 *</t>
  </si>
  <si>
    <t>g</t>
  </si>
  <si>
    <t>e x 5%</t>
  </si>
  <si>
    <t>Valor do ISS</t>
  </si>
  <si>
    <t>h</t>
  </si>
  <si>
    <t>f x 1,65%</t>
  </si>
  <si>
    <t>Valor do PIS</t>
  </si>
  <si>
    <t>i</t>
  </si>
  <si>
    <t>f x 7,6%</t>
  </si>
  <si>
    <t>Valor da COFINS</t>
  </si>
  <si>
    <t>Supondo que o imposto de renda seria pago pela empresa brasileira (portanto, arrecadar/realizar o gross up do valor a ser pago)</t>
  </si>
  <si>
    <t>Supondo que o imposto de renda seria retido pela empresa brasileira (portanto, 15% seriam deduzidos e a empresa estrangeira iria receber o líquido.</t>
  </si>
  <si>
    <t>CÁLCULO DE TRIBUTAÇÃO DE PIS E COFINS IMPORTAÇÃO DE SERVIÇO</t>
  </si>
  <si>
    <t>CONSIDERANDO CÁLCULO PIS e COFINS COM BASE IN 1401/2013</t>
  </si>
  <si>
    <t>FORNECEDOR</t>
  </si>
  <si>
    <t>GEOQUEST</t>
  </si>
  <si>
    <t>VALORES DA INVOICE</t>
  </si>
  <si>
    <t>DATA DO PAGAMENTO</t>
  </si>
  <si>
    <t>INVOICE</t>
  </si>
  <si>
    <t xml:space="preserve"> Nº DA  INVOICE </t>
  </si>
  <si>
    <t>24133 - 06/12 Parcelas</t>
  </si>
  <si>
    <t>MOEDA</t>
  </si>
  <si>
    <t>USD</t>
  </si>
  <si>
    <t>Nº DO CONTRATO</t>
  </si>
  <si>
    <t>CT.PPSA.-019/2019 - Sem retenção de IR</t>
  </si>
  <si>
    <t>TAXA - PTAX</t>
  </si>
  <si>
    <t>TAXA DE CÂMBIO</t>
  </si>
  <si>
    <t>CONSIDERANDO CÁLCULO PIS E COFINS COM BASE IN 1401/2013</t>
  </si>
  <si>
    <t>Ocorrências</t>
  </si>
  <si>
    <t>Alíquotas</t>
  </si>
  <si>
    <t>Comentários</t>
  </si>
  <si>
    <t>Taxa utilizada</t>
  </si>
  <si>
    <t>Sem Retenção de IR - R$</t>
  </si>
  <si>
    <t>Com retenção de IR - R$</t>
  </si>
  <si>
    <t>a - Valor Invoice</t>
  </si>
  <si>
    <t>b - IRF</t>
  </si>
  <si>
    <t>% da base do ir</t>
  </si>
  <si>
    <t>c - Valor remetido</t>
  </si>
  <si>
    <t>d - CIDE</t>
  </si>
  <si>
    <t>% da base do ISS</t>
  </si>
  <si>
    <t xml:space="preserve">e - Base de cálculo do ISS </t>
  </si>
  <si>
    <t>f - Base de cálculo PIS/COFINS</t>
  </si>
  <si>
    <t>g - ISS</t>
  </si>
  <si>
    <t>h - PIS</t>
  </si>
  <si>
    <t>% da base de PIS</t>
  </si>
  <si>
    <t>i - COFINS</t>
  </si>
  <si>
    <t xml:space="preserve">% da base de COFINS </t>
  </si>
  <si>
    <t>TOTAL DE TRIBUTOS</t>
  </si>
  <si>
    <t>Com Retenção de IR - R$</t>
  </si>
  <si>
    <t>RESUMO BB</t>
  </si>
  <si>
    <t>Valor US$</t>
  </si>
  <si>
    <t>Taxa US$</t>
  </si>
  <si>
    <t>Valor R$</t>
  </si>
  <si>
    <t>Fornecedor</t>
  </si>
  <si>
    <t>Despesa Interna: 2% (minimo 110,00 ou máximo 490,00)</t>
  </si>
  <si>
    <t xml:space="preserve">Despesa Externa </t>
  </si>
  <si>
    <t>TOTAL</t>
  </si>
  <si>
    <t>RESUMO</t>
  </si>
  <si>
    <t>IRRF</t>
  </si>
  <si>
    <t>ISS</t>
  </si>
  <si>
    <t>PIS</t>
  </si>
  <si>
    <t>COFINS</t>
  </si>
  <si>
    <t>CIDE</t>
  </si>
  <si>
    <t>IOF</t>
  </si>
  <si>
    <t>CARGA TRIBUTÁRIA</t>
  </si>
  <si>
    <t>Carga tributária</t>
  </si>
  <si>
    <t>CUSTO TOTAL OPERAÇÃO</t>
  </si>
  <si>
    <t>VALOR R$</t>
  </si>
  <si>
    <t>FATOR CORRETO&gt;&gt;</t>
  </si>
  <si>
    <t>Base de cálculo</t>
  </si>
  <si>
    <t>TOTAL DE TRIBUTOS (% do valor Invoice)</t>
  </si>
  <si>
    <t>TOTAL (x60)</t>
  </si>
  <si>
    <t>Valor unitário (US$/licença da plataforma/mês): Soma dos módulos</t>
  </si>
  <si>
    <t>Valor unitário (US$/licença da plataforma/mês): Decorrente da Proposta</t>
  </si>
  <si>
    <t>Descritivo do módulo (principais funções)</t>
  </si>
  <si>
    <t>Diagnóstico</t>
  </si>
  <si>
    <t>Despesa Interna: 2% (minimo R$ 110,00 ou máximo R$ 490,00)</t>
  </si>
  <si>
    <t>[Preencher com nome e código de referência do módulo N]</t>
  </si>
  <si>
    <r>
      <t xml:space="preserve">Valor Invoice Convertida em R$ (item 6) </t>
    </r>
    <r>
      <rPr>
        <sz val="11"/>
        <rFont val="Calibri"/>
        <family val="2"/>
        <scheme val="minor"/>
      </rPr>
      <t>com gross-up</t>
    </r>
  </si>
  <si>
    <r>
      <t xml:space="preserve">Valores </t>
    </r>
    <r>
      <rPr>
        <b/>
        <u/>
        <sz val="11"/>
        <color indexed="8"/>
        <rFont val="Calibri"/>
        <family val="2"/>
      </rPr>
      <t>EXEMPLO</t>
    </r>
  </si>
  <si>
    <t>Valor total da Invoice em Reais convertida pelo PTAX</t>
  </si>
  <si>
    <t>Valor Total da Invoice  (*)</t>
  </si>
  <si>
    <t>% da base de cálculo ISS (item 9)</t>
  </si>
  <si>
    <t>Somatório dos itens (8 + 10 + 11 + 13 + 14 + 15 + 16)</t>
  </si>
  <si>
    <t>Somatório dos itens (6 + 17)</t>
  </si>
  <si>
    <t>Total (Impostos + Despesas)</t>
  </si>
  <si>
    <t>((Valor Invoice Convertida em R$ + IRF) x 1,157025)</t>
  </si>
  <si>
    <r>
      <t xml:space="preserve">      Despesas de Operação Internacional </t>
    </r>
    <r>
      <rPr>
        <sz val="11"/>
        <rFont val="Calibri"/>
        <family val="2"/>
        <scheme val="minor"/>
      </rPr>
      <t>(US$ 70 + R$ 490,00 por invoice mensal)</t>
    </r>
  </si>
  <si>
    <r>
      <rPr>
        <b/>
        <sz val="10"/>
        <color theme="1"/>
        <rFont val="Calibri"/>
        <family val="2"/>
        <scheme val="minor"/>
      </rPr>
      <t xml:space="preserve">(*) </t>
    </r>
    <r>
      <rPr>
        <sz val="10"/>
        <color theme="1"/>
        <rFont val="Calibri"/>
        <family val="2"/>
        <scheme val="minor"/>
      </rPr>
      <t xml:space="preserve">- O Imposto de Renda (IRF) será </t>
    </r>
    <r>
      <rPr>
        <u/>
        <sz val="10"/>
        <color theme="1"/>
        <rFont val="Calibri"/>
        <family val="2"/>
        <scheme val="minor"/>
      </rPr>
      <t>pago</t>
    </r>
    <r>
      <rPr>
        <sz val="10"/>
        <color theme="1"/>
        <rFont val="Calibri"/>
        <family val="2"/>
        <scheme val="minor"/>
      </rPr>
      <t xml:space="preserve"> pela PPSA (portanto, a empresa estrangeira receberá o </t>
    </r>
    <r>
      <rPr>
        <u/>
        <sz val="10"/>
        <color theme="1"/>
        <rFont val="Calibri"/>
        <family val="2"/>
        <scheme val="minor"/>
      </rPr>
      <t>valor líquido da Invoice</t>
    </r>
    <r>
      <rPr>
        <sz val="10"/>
        <color theme="1"/>
        <rFont val="Calibri"/>
        <family val="2"/>
        <scheme val="minor"/>
      </rPr>
      <t xml:space="preserve"> conforme item 4</t>
    </r>
    <r>
      <rPr>
        <sz val="10"/>
        <color theme="1"/>
        <rFont val="Calibri"/>
        <family val="2"/>
        <scheme val="minor"/>
      </rPr>
      <t>).</t>
    </r>
  </si>
  <si>
    <r>
      <t xml:space="preserve">Cálculo Reverso  (**)
</t>
    </r>
    <r>
      <rPr>
        <b/>
        <u/>
        <sz val="11"/>
        <color indexed="8"/>
        <rFont val="Calibri"/>
        <family val="2"/>
      </rPr>
      <t>EXEMPLO</t>
    </r>
  </si>
  <si>
    <t>......</t>
  </si>
  <si>
    <t>MOD..</t>
  </si>
  <si>
    <t>MOD_N</t>
  </si>
  <si>
    <r>
      <t xml:space="preserve">Cálculo Reverso
</t>
    </r>
    <r>
      <rPr>
        <b/>
        <u/>
        <sz val="11"/>
        <color indexed="8"/>
        <rFont val="Calibri"/>
        <family val="2"/>
      </rPr>
      <t>EXEMPLO</t>
    </r>
    <r>
      <rPr>
        <b/>
        <sz val="11"/>
        <color indexed="8"/>
        <rFont val="Calibri"/>
        <family val="2"/>
      </rPr>
      <t xml:space="preserve"> (*)</t>
    </r>
  </si>
  <si>
    <r>
      <t xml:space="preserve">Valores </t>
    </r>
    <r>
      <rPr>
        <b/>
        <u/>
        <sz val="11"/>
        <color indexed="8"/>
        <rFont val="Calibri"/>
        <family val="2"/>
      </rPr>
      <t>EXEMPLO</t>
    </r>
    <r>
      <rPr>
        <b/>
        <sz val="11"/>
        <color indexed="8"/>
        <rFont val="Calibri"/>
        <family val="2"/>
      </rPr>
      <t xml:space="preserve"> (*)</t>
    </r>
  </si>
  <si>
    <t>Somatório dos itens 1 e 2 da Tabela 1</t>
  </si>
  <si>
    <t>....</t>
  </si>
  <si>
    <t>(*) - Esta coluna destina-se a calcular corretamente o valor do somatório dos valores dos módulos ofertados com o valor da Invoice (Item 4 da Tabela 1). O valor do treinamento (item 3) é colocado de forma separada.</t>
  </si>
  <si>
    <r>
      <rPr>
        <b/>
        <sz val="11"/>
        <color rgb="FFC00000"/>
        <rFont val="Calibri"/>
        <family val="2"/>
        <scheme val="minor"/>
      </rPr>
      <t xml:space="preserve">OBS. : </t>
    </r>
    <r>
      <rPr>
        <sz val="11"/>
        <color rgb="FFC00000"/>
        <rFont val="Calibri"/>
        <family val="2"/>
        <scheme val="minor"/>
      </rPr>
      <t xml:space="preserve">Preencher </t>
    </r>
    <r>
      <rPr>
        <b/>
        <sz val="11"/>
        <color rgb="FFC00000"/>
        <rFont val="Calibri"/>
        <family val="2"/>
        <scheme val="minor"/>
      </rPr>
      <t xml:space="preserve">SOMENTE </t>
    </r>
    <r>
      <rPr>
        <sz val="11"/>
        <color rgb="FFC00000"/>
        <rFont val="Calibri"/>
        <family val="2"/>
        <scheme val="minor"/>
      </rPr>
      <t xml:space="preserve">as células com o fundo em </t>
    </r>
    <r>
      <rPr>
        <b/>
        <sz val="11"/>
        <color rgb="FFC00000"/>
        <rFont val="Calibri"/>
        <family val="2"/>
        <scheme val="minor"/>
      </rPr>
      <t>AMARELO</t>
    </r>
    <r>
      <rPr>
        <sz val="11"/>
        <color rgb="FFC00000"/>
        <rFont val="Calibri"/>
        <family val="2"/>
        <scheme val="minor"/>
      </rPr>
      <t>. As demais células são calculadas automaticamente e não devem ser modificadas pela Licitante.</t>
    </r>
  </si>
  <si>
    <r>
      <rPr>
        <b/>
        <sz val="10"/>
        <color theme="1"/>
        <rFont val="Calibri"/>
        <family val="2"/>
        <scheme val="minor"/>
      </rPr>
      <t xml:space="preserve">(**) </t>
    </r>
    <r>
      <rPr>
        <sz val="10"/>
        <color theme="1"/>
        <rFont val="Calibri"/>
        <family val="2"/>
        <scheme val="minor"/>
      </rPr>
      <t>- Esta coluna destina-se a calcular o valor da Invoice (item 4) a partir do valor colocado no sistema ComprasNET (item 18), de forma reversa a da coluna "Valores EXEMPLO" onde, a partir dos valores unitários ofertados (itens 1,2 e 3), é calculado o valor a ser colocado no sistema ComprasNET (item 18).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</si>
</sst>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00"/>
    <numFmt numFmtId="166" formatCode="#,##0.00000"/>
    <numFmt numFmtId="167" formatCode="_(* #,##0.00000_);_(* \(#,##0.00000\);_(* &quot;-&quot;??_);_(@_)"/>
    <numFmt numFmtId="168" formatCode="_-* #,##0.000000_-;\-* #,##0.000000_-;_-* &quot;-&quot;??_-;_-@_-"/>
    <numFmt numFmtId="169" formatCode="#,##0.0000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1"/>
      <color indexed="8"/>
      <name val="Calibri"/>
      <family val="2"/>
    </font>
    <font>
      <b/>
      <sz val="10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color rgb="FF0000FF"/>
      <name val="Calibri"/>
      <family val="2"/>
      <scheme val="minor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name val="Calibri"/>
      <family val="2"/>
    </font>
    <font>
      <sz val="8"/>
      <color theme="1"/>
      <name val="Calibri"/>
      <family val="2"/>
      <scheme val="minor"/>
    </font>
    <font>
      <sz val="12"/>
      <color rgb="FF333333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ashed">
        <color indexed="64"/>
      </left>
      <right style="dashed">
        <color indexed="64"/>
      </right>
      <top style="thin">
        <color rgb="FF7F7F7F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rgb="FF7F7F7F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9" fillId="3" borderId="10" applyNumberFormat="0" applyAlignment="0" applyProtection="0"/>
    <xf numFmtId="0" fontId="20" fillId="4" borderId="11" applyNumberFormat="0" applyAlignment="0" applyProtection="0"/>
  </cellStyleXfs>
  <cellXfs count="271">
    <xf numFmtId="0" fontId="0" fillId="0" borderId="0" xfId="0"/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vertical="center"/>
    </xf>
    <xf numFmtId="0" fontId="10" fillId="0" borderId="0" xfId="0" applyFont="1"/>
    <xf numFmtId="0" fontId="1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4" fillId="2" borderId="0" xfId="0" applyFont="1" applyFill="1" applyBorder="1"/>
    <xf numFmtId="43" fontId="11" fillId="0" borderId="0" xfId="0" applyNumberFormat="1" applyFont="1" applyBorder="1"/>
    <xf numFmtId="0" fontId="3" fillId="0" borderId="0" xfId="0" quotePrefix="1" applyFont="1"/>
    <xf numFmtId="0" fontId="0" fillId="0" borderId="0" xfId="0" applyFont="1"/>
    <xf numFmtId="0" fontId="0" fillId="0" borderId="0" xfId="0" applyFont="1" applyFill="1" applyAlignment="1">
      <alignment horizontal="right"/>
    </xf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/>
    <xf numFmtId="43" fontId="6" fillId="0" borderId="2" xfId="0" applyNumberFormat="1" applyFont="1" applyBorder="1" applyAlignment="1">
      <alignment horizontal="center"/>
    </xf>
    <xf numFmtId="43" fontId="3" fillId="0" borderId="2" xfId="0" applyNumberFormat="1" applyFont="1" applyBorder="1" applyAlignment="1">
      <alignment horizontal="center"/>
    </xf>
    <xf numFmtId="0" fontId="9" fillId="2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/>
    </xf>
    <xf numFmtId="43" fontId="11" fillId="0" borderId="2" xfId="0" applyNumberFormat="1" applyFont="1" applyBorder="1" applyAlignment="1">
      <alignment horizontal="center"/>
    </xf>
    <xf numFmtId="0" fontId="14" fillId="2" borderId="2" xfId="0" applyFont="1" applyFill="1" applyBorder="1"/>
    <xf numFmtId="43" fontId="16" fillId="0" borderId="2" xfId="0" applyNumberFormat="1" applyFont="1" applyBorder="1" applyAlignment="1">
      <alignment horizontal="center"/>
    </xf>
    <xf numFmtId="0" fontId="0" fillId="0" borderId="3" xfId="0" quotePrefix="1" applyFont="1" applyFill="1" applyBorder="1" applyAlignment="1">
      <alignment horizontal="left"/>
    </xf>
    <xf numFmtId="0" fontId="0" fillId="0" borderId="4" xfId="0" quotePrefix="1" applyFont="1" applyFill="1" applyBorder="1" applyAlignment="1">
      <alignment horizontal="left"/>
    </xf>
    <xf numFmtId="0" fontId="0" fillId="0" borderId="5" xfId="0" applyFont="1" applyBorder="1"/>
    <xf numFmtId="0" fontId="0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vertical="center"/>
    </xf>
    <xf numFmtId="2" fontId="0" fillId="0" borderId="4" xfId="0" quotePrefix="1" applyNumberFormat="1" applyFont="1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>
      <alignment horizontal="left" vertical="center"/>
    </xf>
    <xf numFmtId="0" fontId="0" fillId="2" borderId="5" xfId="0" quotePrefix="1" applyFont="1" applyFill="1" applyBorder="1" applyAlignment="1"/>
    <xf numFmtId="0" fontId="0" fillId="2" borderId="5" xfId="0" applyFont="1" applyFill="1" applyBorder="1" applyAlignment="1"/>
    <xf numFmtId="0" fontId="9" fillId="2" borderId="6" xfId="0" applyFont="1" applyFill="1" applyBorder="1" applyAlignment="1">
      <alignment horizontal="center"/>
    </xf>
    <xf numFmtId="0" fontId="0" fillId="0" borderId="7" xfId="0" quotePrefix="1" applyFont="1" applyFill="1" applyBorder="1" applyAlignment="1">
      <alignment horizontal="left"/>
    </xf>
    <xf numFmtId="0" fontId="0" fillId="0" borderId="8" xfId="0" quotePrefix="1" applyFont="1" applyFill="1" applyBorder="1" applyAlignment="1">
      <alignment horizontal="left"/>
    </xf>
    <xf numFmtId="0" fontId="0" fillId="0" borderId="9" xfId="0" applyFont="1" applyBorder="1"/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0" fillId="0" borderId="4" xfId="0" applyNumberFormat="1" applyFont="1" applyFill="1" applyBorder="1" applyAlignment="1" applyProtection="1">
      <alignment horizontal="right" vertical="center"/>
      <protection locked="0"/>
    </xf>
    <xf numFmtId="43" fontId="3" fillId="0" borderId="0" xfId="7" applyFont="1"/>
    <xf numFmtId="0" fontId="8" fillId="2" borderId="2" xfId="0" applyFont="1" applyFill="1" applyBorder="1" applyAlignment="1">
      <alignment horizontal="center"/>
    </xf>
    <xf numFmtId="43" fontId="3" fillId="0" borderId="0" xfId="0" applyNumberFormat="1" applyFont="1" applyFill="1" applyBorder="1"/>
    <xf numFmtId="43" fontId="18" fillId="0" borderId="0" xfId="7" quotePrefix="1" applyFont="1" applyFill="1" applyBorder="1" applyAlignment="1">
      <alignment vertical="center"/>
    </xf>
    <xf numFmtId="43" fontId="3" fillId="0" borderId="0" xfId="7" applyFont="1" applyFill="1" applyBorder="1"/>
    <xf numFmtId="0" fontId="3" fillId="0" borderId="0" xfId="0" applyFont="1" applyFill="1" applyBorder="1"/>
    <xf numFmtId="43" fontId="19" fillId="0" borderId="0" xfId="7" applyFont="1" applyFill="1" applyBorder="1"/>
    <xf numFmtId="43" fontId="0" fillId="0" borderId="12" xfId="7" applyFont="1" applyBorder="1"/>
    <xf numFmtId="43" fontId="7" fillId="0" borderId="12" xfId="7" applyFont="1" applyBorder="1"/>
    <xf numFmtId="43" fontId="5" fillId="0" borderId="6" xfId="0" applyNumberFormat="1" applyFont="1" applyBorder="1" applyAlignment="1">
      <alignment horizontal="center"/>
    </xf>
    <xf numFmtId="0" fontId="0" fillId="0" borderId="3" xfId="0" quotePrefix="1" applyFont="1" applyFill="1" applyBorder="1" applyAlignment="1">
      <alignment horizontal="left"/>
    </xf>
    <xf numFmtId="0" fontId="0" fillId="0" borderId="4" xfId="0" quotePrefix="1" applyFont="1" applyFill="1" applyBorder="1" applyAlignment="1">
      <alignment horizontal="left"/>
    </xf>
    <xf numFmtId="43" fontId="0" fillId="0" borderId="12" xfId="0" applyNumberFormat="1" applyBorder="1"/>
    <xf numFmtId="0" fontId="24" fillId="2" borderId="13" xfId="0" applyFont="1" applyFill="1" applyBorder="1" applyAlignment="1">
      <alignment horizontal="center" vertical="center" wrapText="1"/>
    </xf>
    <xf numFmtId="43" fontId="0" fillId="2" borderId="13" xfId="7" applyFont="1" applyFill="1" applyBorder="1" applyAlignment="1">
      <alignment horizontal="left" wrapText="1"/>
    </xf>
    <xf numFmtId="0" fontId="24" fillId="2" borderId="14" xfId="0" applyFont="1" applyFill="1" applyBorder="1" applyAlignment="1">
      <alignment horizontal="center"/>
    </xf>
    <xf numFmtId="0" fontId="24" fillId="2" borderId="14" xfId="0" applyFont="1" applyFill="1" applyBorder="1" applyAlignment="1">
      <alignment horizontal="center" vertical="center"/>
    </xf>
    <xf numFmtId="43" fontId="0" fillId="2" borderId="14" xfId="7" applyFont="1" applyFill="1" applyBorder="1" applyAlignment="1">
      <alignment wrapText="1"/>
    </xf>
    <xf numFmtId="43" fontId="0" fillId="2" borderId="14" xfId="7" applyFont="1" applyFill="1" applyBorder="1" applyAlignment="1">
      <alignment vertical="center" wrapText="1"/>
    </xf>
    <xf numFmtId="0" fontId="25" fillId="2" borderId="14" xfId="0" applyFont="1" applyFill="1" applyBorder="1" applyAlignment="1">
      <alignment wrapText="1"/>
    </xf>
    <xf numFmtId="0" fontId="25" fillId="2" borderId="13" xfId="0" applyFont="1" applyFill="1" applyBorder="1" applyAlignment="1">
      <alignment wrapText="1"/>
    </xf>
    <xf numFmtId="0" fontId="24" fillId="2" borderId="16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center" vertical="center"/>
    </xf>
    <xf numFmtId="43" fontId="0" fillId="2" borderId="16" xfId="7" applyFont="1" applyFill="1" applyBorder="1" applyAlignment="1">
      <alignment wrapText="1"/>
    </xf>
    <xf numFmtId="164" fontId="3" fillId="7" borderId="17" xfId="1" applyFont="1" applyFill="1" applyBorder="1" applyAlignment="1">
      <alignment horizontal="left"/>
    </xf>
    <xf numFmtId="164" fontId="3" fillId="7" borderId="18" xfId="1" applyFont="1" applyFill="1" applyBorder="1"/>
    <xf numFmtId="164" fontId="3" fillId="7" borderId="19" xfId="1" applyFont="1" applyFill="1" applyBorder="1"/>
    <xf numFmtId="0" fontId="27" fillId="9" borderId="25" xfId="0" applyFont="1" applyFill="1" applyBorder="1" applyAlignment="1">
      <alignment horizontal="left" indent="33"/>
    </xf>
    <xf numFmtId="0" fontId="27" fillId="9" borderId="26" xfId="0" applyFont="1" applyFill="1" applyBorder="1" applyAlignment="1"/>
    <xf numFmtId="0" fontId="28" fillId="9" borderId="25" xfId="0" applyFont="1" applyFill="1" applyBorder="1" applyAlignment="1"/>
    <xf numFmtId="0" fontId="28" fillId="9" borderId="26" xfId="0" applyFont="1" applyFill="1" applyBorder="1" applyAlignment="1"/>
    <xf numFmtId="164" fontId="29" fillId="2" borderId="27" xfId="0" applyNumberFormat="1" applyFont="1" applyFill="1" applyBorder="1" applyAlignment="1">
      <alignment horizontal="left" vertical="top"/>
    </xf>
    <xf numFmtId="0" fontId="28" fillId="6" borderId="28" xfId="0" applyFont="1" applyFill="1" applyBorder="1" applyAlignment="1" applyProtection="1">
      <protection locked="0"/>
    </xf>
    <xf numFmtId="0" fontId="28" fillId="6" borderId="29" xfId="0" applyFont="1" applyFill="1" applyBorder="1" applyAlignment="1" applyProtection="1">
      <protection locked="0"/>
    </xf>
    <xf numFmtId="0" fontId="27" fillId="0" borderId="25" xfId="0" applyFont="1" applyFill="1" applyBorder="1" applyAlignment="1">
      <alignment horizontal="left" indent="10"/>
    </xf>
    <xf numFmtId="0" fontId="27" fillId="0" borderId="26" xfId="0" applyFont="1" applyFill="1" applyBorder="1" applyAlignment="1">
      <alignment horizontal="left" indent="10"/>
    </xf>
    <xf numFmtId="164" fontId="29" fillId="2" borderId="30" xfId="0" applyNumberFormat="1" applyFont="1" applyFill="1" applyBorder="1" applyAlignment="1">
      <alignment horizontal="left" vertical="top"/>
    </xf>
    <xf numFmtId="14" fontId="28" fillId="6" borderId="31" xfId="0" applyNumberFormat="1" applyFont="1" applyFill="1" applyBorder="1" applyAlignment="1" applyProtection="1">
      <protection locked="0"/>
    </xf>
    <xf numFmtId="0" fontId="28" fillId="6" borderId="31" xfId="0" applyFont="1" applyFill="1" applyBorder="1" applyAlignment="1" applyProtection="1">
      <protection locked="0"/>
    </xf>
    <xf numFmtId="0" fontId="28" fillId="6" borderId="32" xfId="0" applyFont="1" applyFill="1" applyBorder="1" applyAlignment="1" applyProtection="1">
      <protection locked="0"/>
    </xf>
    <xf numFmtId="0" fontId="4" fillId="0" borderId="33" xfId="0" applyFont="1" applyFill="1" applyBorder="1" applyAlignment="1">
      <alignment horizontal="center"/>
    </xf>
    <xf numFmtId="4" fontId="29" fillId="2" borderId="30" xfId="0" applyNumberFormat="1" applyFont="1" applyFill="1" applyBorder="1" applyAlignment="1">
      <alignment horizontal="left" vertical="top"/>
    </xf>
    <xf numFmtId="0" fontId="4" fillId="0" borderId="30" xfId="0" applyFont="1" applyFill="1" applyBorder="1" applyAlignment="1">
      <alignment horizontal="center"/>
    </xf>
    <xf numFmtId="164" fontId="29" fillId="2" borderId="34" xfId="0" applyNumberFormat="1" applyFont="1" applyFill="1" applyBorder="1" applyAlignment="1">
      <alignment horizontal="left" vertical="top" wrapText="1"/>
    </xf>
    <xf numFmtId="0" fontId="28" fillId="6" borderId="35" xfId="0" applyFont="1" applyFill="1" applyBorder="1" applyAlignment="1" applyProtection="1">
      <protection locked="0"/>
    </xf>
    <xf numFmtId="0" fontId="28" fillId="6" borderId="36" xfId="0" applyFont="1" applyFill="1" applyBorder="1" applyAlignment="1" applyProtection="1">
      <protection locked="0"/>
    </xf>
    <xf numFmtId="0" fontId="28" fillId="10" borderId="20" xfId="0" applyFont="1" applyFill="1" applyBorder="1" applyAlignment="1">
      <alignment horizontal="center"/>
    </xf>
    <xf numFmtId="0" fontId="28" fillId="10" borderId="0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28" fillId="9" borderId="25" xfId="0" applyFont="1" applyFill="1" applyBorder="1" applyAlignment="1">
      <alignment horizontal="left" indent="33"/>
    </xf>
    <xf numFmtId="0" fontId="30" fillId="9" borderId="26" xfId="0" applyFont="1" applyFill="1" applyBorder="1" applyAlignment="1"/>
    <xf numFmtId="0" fontId="28" fillId="2" borderId="22" xfId="0" applyFont="1" applyFill="1" applyBorder="1" applyAlignment="1">
      <alignment horizontal="center"/>
    </xf>
    <xf numFmtId="0" fontId="28" fillId="2" borderId="38" xfId="0" applyFont="1" applyFill="1" applyBorder="1" applyAlignment="1">
      <alignment horizontal="center"/>
    </xf>
    <xf numFmtId="0" fontId="28" fillId="2" borderId="23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/>
    </xf>
    <xf numFmtId="0" fontId="8" fillId="2" borderId="27" xfId="0" applyFont="1" applyFill="1" applyBorder="1"/>
    <xf numFmtId="0" fontId="0" fillId="2" borderId="28" xfId="0" applyFill="1" applyBorder="1"/>
    <xf numFmtId="167" fontId="7" fillId="11" borderId="28" xfId="1" applyNumberFormat="1" applyFont="1" applyFill="1" applyBorder="1"/>
    <xf numFmtId="164" fontId="9" fillId="7" borderId="28" xfId="1" applyFont="1" applyFill="1" applyBorder="1"/>
    <xf numFmtId="164" fontId="7" fillId="8" borderId="40" xfId="0" applyNumberFormat="1" applyFont="1" applyFill="1" applyBorder="1"/>
    <xf numFmtId="0" fontId="8" fillId="2" borderId="30" xfId="0" applyFont="1" applyFill="1" applyBorder="1"/>
    <xf numFmtId="2" fontId="0" fillId="6" borderId="31" xfId="0" applyNumberFormat="1" applyFill="1" applyBorder="1" applyAlignment="1" applyProtection="1">
      <alignment horizontal="center"/>
      <protection locked="0"/>
    </xf>
    <xf numFmtId="164" fontId="0" fillId="2" borderId="31" xfId="1" applyFont="1" applyFill="1" applyBorder="1"/>
    <xf numFmtId="164" fontId="7" fillId="7" borderId="31" xfId="1" applyFont="1" applyFill="1" applyBorder="1"/>
    <xf numFmtId="164" fontId="7" fillId="8" borderId="31" xfId="0" applyNumberFormat="1" applyFont="1" applyFill="1" applyBorder="1"/>
    <xf numFmtId="0" fontId="8" fillId="2" borderId="30" xfId="0" applyFont="1" applyFill="1" applyBorder="1" applyAlignment="1">
      <alignment wrapText="1"/>
    </xf>
    <xf numFmtId="2" fontId="0" fillId="2" borderId="31" xfId="0" applyNumberFormat="1" applyFill="1" applyBorder="1" applyAlignment="1">
      <alignment horizontal="center" wrapText="1"/>
    </xf>
    <xf numFmtId="2" fontId="0" fillId="2" borderId="31" xfId="0" applyNumberFormat="1" applyFill="1" applyBorder="1" applyAlignment="1">
      <alignment horizontal="left" wrapText="1"/>
    </xf>
    <xf numFmtId="0" fontId="0" fillId="2" borderId="31" xfId="0" applyFill="1" applyBorder="1" applyAlignment="1">
      <alignment horizontal="left" wrapText="1"/>
    </xf>
    <xf numFmtId="164" fontId="7" fillId="8" borderId="31" xfId="1" applyFont="1" applyFill="1" applyBorder="1"/>
    <xf numFmtId="2" fontId="0" fillId="2" borderId="31" xfId="0" applyNumberFormat="1" applyFill="1" applyBorder="1" applyAlignment="1">
      <alignment horizontal="center"/>
    </xf>
    <xf numFmtId="2" fontId="0" fillId="2" borderId="31" xfId="0" applyNumberFormat="1" applyFill="1" applyBorder="1" applyAlignment="1">
      <alignment horizontal="left"/>
    </xf>
    <xf numFmtId="0" fontId="0" fillId="2" borderId="31" xfId="0" applyFill="1" applyBorder="1" applyAlignment="1">
      <alignment horizontal="left"/>
    </xf>
    <xf numFmtId="167" fontId="7" fillId="11" borderId="31" xfId="1" applyNumberFormat="1" applyFont="1" applyFill="1" applyBorder="1"/>
    <xf numFmtId="164" fontId="0" fillId="7" borderId="31" xfId="1" applyFont="1" applyFill="1" applyBorder="1"/>
    <xf numFmtId="164" fontId="17" fillId="8" borderId="31" xfId="1" applyFont="1" applyFill="1" applyBorder="1"/>
    <xf numFmtId="164" fontId="0" fillId="8" borderId="31" xfId="1" applyFont="1" applyFill="1" applyBorder="1"/>
    <xf numFmtId="0" fontId="8" fillId="2" borderId="37" xfId="0" applyFont="1" applyFill="1" applyBorder="1"/>
    <xf numFmtId="2" fontId="0" fillId="6" borderId="41" xfId="0" applyNumberFormat="1" applyFill="1" applyBorder="1" applyAlignment="1" applyProtection="1">
      <alignment horizontal="center"/>
      <protection locked="0"/>
    </xf>
    <xf numFmtId="164" fontId="0" fillId="2" borderId="41" xfId="1" applyFont="1" applyFill="1" applyBorder="1"/>
    <xf numFmtId="164" fontId="7" fillId="7" borderId="41" xfId="1" applyFont="1" applyFill="1" applyBorder="1"/>
    <xf numFmtId="164" fontId="7" fillId="8" borderId="41" xfId="1" applyFont="1" applyFill="1" applyBorder="1"/>
    <xf numFmtId="0" fontId="7" fillId="2" borderId="25" xfId="0" applyFont="1" applyFill="1" applyBorder="1"/>
    <xf numFmtId="0" fontId="7" fillId="2" borderId="26" xfId="0" applyFont="1" applyFill="1" applyBorder="1"/>
    <xf numFmtId="164" fontId="7" fillId="2" borderId="26" xfId="1" applyFont="1" applyFill="1" applyBorder="1"/>
    <xf numFmtId="10" fontId="7" fillId="7" borderId="26" xfId="2" applyNumberFormat="1" applyFont="1" applyFill="1" applyBorder="1"/>
    <xf numFmtId="10" fontId="7" fillId="8" borderId="26" xfId="2" applyNumberFormat="1" applyFont="1" applyFill="1" applyBorder="1"/>
    <xf numFmtId="0" fontId="27" fillId="9" borderId="39" xfId="0" applyFont="1" applyFill="1" applyBorder="1" applyAlignment="1"/>
    <xf numFmtId="0" fontId="0" fillId="2" borderId="0" xfId="0" applyFill="1"/>
    <xf numFmtId="0" fontId="0" fillId="9" borderId="21" xfId="0" applyFill="1" applyBorder="1"/>
    <xf numFmtId="0" fontId="0" fillId="0" borderId="39" xfId="0" applyFill="1" applyBorder="1"/>
    <xf numFmtId="0" fontId="0" fillId="0" borderId="0" xfId="0" applyFill="1" applyBorder="1"/>
    <xf numFmtId="43" fontId="27" fillId="6" borderId="29" xfId="7" applyFont="1" applyFill="1" applyBorder="1" applyAlignment="1" applyProtection="1">
      <alignment vertical="center"/>
      <protection locked="0"/>
    </xf>
    <xf numFmtId="0" fontId="27" fillId="6" borderId="32" xfId="0" applyFont="1" applyFill="1" applyBorder="1" applyAlignment="1" applyProtection="1">
      <protection locked="0"/>
    </xf>
    <xf numFmtId="166" fontId="27" fillId="6" borderId="32" xfId="0" applyNumberFormat="1" applyFont="1" applyFill="1" applyBorder="1" applyAlignment="1" applyProtection="1">
      <protection locked="0"/>
    </xf>
    <xf numFmtId="166" fontId="27" fillId="6" borderId="36" xfId="0" applyNumberFormat="1" applyFont="1" applyFill="1" applyBorder="1" applyAlignment="1" applyProtection="1">
      <protection locked="0"/>
    </xf>
    <xf numFmtId="0" fontId="28" fillId="9" borderId="39" xfId="0" applyFont="1" applyFill="1" applyBorder="1" applyAlignment="1"/>
    <xf numFmtId="0" fontId="1" fillId="2" borderId="39" xfId="0" applyFont="1" applyFill="1" applyBorder="1" applyAlignment="1"/>
    <xf numFmtId="0" fontId="0" fillId="2" borderId="21" xfId="0" applyFill="1" applyBorder="1"/>
    <xf numFmtId="44" fontId="0" fillId="2" borderId="0" xfId="8" applyFont="1" applyFill="1"/>
    <xf numFmtId="9" fontId="0" fillId="2" borderId="0" xfId="0" applyNumberFormat="1" applyFill="1"/>
    <xf numFmtId="0" fontId="0" fillId="2" borderId="24" xfId="0" applyFill="1" applyBorder="1"/>
    <xf numFmtId="0" fontId="31" fillId="2" borderId="0" xfId="0" applyFont="1" applyFill="1"/>
    <xf numFmtId="0" fontId="32" fillId="0" borderId="0" xfId="0" applyFont="1" applyAlignment="1">
      <alignment vertical="center"/>
    </xf>
    <xf numFmtId="168" fontId="0" fillId="2" borderId="0" xfId="0" applyNumberFormat="1" applyFill="1"/>
    <xf numFmtId="43" fontId="0" fillId="0" borderId="12" xfId="7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Border="1" applyProtection="1">
      <protection locked="0"/>
    </xf>
    <xf numFmtId="0" fontId="5" fillId="12" borderId="25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42" xfId="0" applyFont="1" applyFill="1" applyBorder="1" applyAlignment="1">
      <alignment horizontal="center" vertical="center"/>
    </xf>
    <xf numFmtId="0" fontId="5" fillId="12" borderId="39" xfId="0" applyFont="1" applyFill="1" applyBorder="1" applyAlignment="1">
      <alignment horizontal="center" vertical="center"/>
    </xf>
    <xf numFmtId="0" fontId="5" fillId="8" borderId="25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8" borderId="39" xfId="0" applyFont="1" applyFill="1" applyBorder="1" applyAlignment="1">
      <alignment horizontal="center" vertical="center"/>
    </xf>
    <xf numFmtId="0" fontId="5" fillId="13" borderId="38" xfId="0" applyFont="1" applyFill="1" applyBorder="1" applyAlignment="1">
      <alignment vertical="center"/>
    </xf>
    <xf numFmtId="4" fontId="6" fillId="13" borderId="24" xfId="0" applyNumberFormat="1" applyFont="1" applyFill="1" applyBorder="1" applyAlignment="1">
      <alignment vertical="center"/>
    </xf>
    <xf numFmtId="169" fontId="6" fillId="13" borderId="24" xfId="0" applyNumberFormat="1" applyFont="1" applyFill="1" applyBorder="1" applyAlignment="1">
      <alignment vertical="center"/>
    </xf>
    <xf numFmtId="0" fontId="5" fillId="13" borderId="38" xfId="0" applyFont="1" applyFill="1" applyBorder="1" applyAlignment="1">
      <alignment vertical="center" wrapText="1"/>
    </xf>
    <xf numFmtId="4" fontId="6" fillId="0" borderId="24" xfId="0" applyNumberFormat="1" applyFont="1" applyFill="1" applyBorder="1" applyAlignment="1">
      <alignment vertical="center"/>
    </xf>
    <xf numFmtId="0" fontId="5" fillId="12" borderId="43" xfId="0" applyFont="1" applyFill="1" applyBorder="1" applyAlignment="1">
      <alignment vertical="center"/>
    </xf>
    <xf numFmtId="4" fontId="5" fillId="12" borderId="24" xfId="0" applyNumberFormat="1" applyFont="1" applyFill="1" applyBorder="1" applyAlignment="1">
      <alignment vertical="center"/>
    </xf>
    <xf numFmtId="0" fontId="5" fillId="8" borderId="43" xfId="0" applyFont="1" applyFill="1" applyBorder="1" applyAlignment="1">
      <alignment vertical="center"/>
    </xf>
    <xf numFmtId="4" fontId="5" fillId="8" borderId="24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Protection="1"/>
    <xf numFmtId="164" fontId="5" fillId="12" borderId="38" xfId="0" applyNumberFormat="1" applyFont="1" applyFill="1" applyBorder="1" applyProtection="1"/>
    <xf numFmtId="164" fontId="5" fillId="8" borderId="38" xfId="0" applyNumberFormat="1" applyFont="1" applyFill="1" applyBorder="1" applyProtection="1"/>
    <xf numFmtId="10" fontId="5" fillId="12" borderId="1" xfId="9" applyNumberFormat="1" applyFont="1" applyFill="1" applyBorder="1" applyAlignment="1">
      <alignment horizontal="center" vertical="center"/>
    </xf>
    <xf numFmtId="10" fontId="5" fillId="8" borderId="1" xfId="9" applyNumberFormat="1" applyFont="1" applyFill="1" applyBorder="1" applyAlignment="1">
      <alignment horizontal="center" vertical="center"/>
    </xf>
    <xf numFmtId="0" fontId="5" fillId="12" borderId="25" xfId="0" applyFont="1" applyFill="1" applyBorder="1" applyAlignment="1">
      <alignment vertical="center"/>
    </xf>
    <xf numFmtId="0" fontId="5" fillId="12" borderId="26" xfId="0" applyFont="1" applyFill="1" applyBorder="1" applyAlignment="1">
      <alignment vertical="center"/>
    </xf>
    <xf numFmtId="4" fontId="5" fillId="12" borderId="39" xfId="0" applyNumberFormat="1" applyFont="1" applyFill="1" applyBorder="1" applyAlignment="1">
      <alignment vertical="center"/>
    </xf>
    <xf numFmtId="0" fontId="5" fillId="8" borderId="25" xfId="0" applyFont="1" applyFill="1" applyBorder="1" applyAlignment="1">
      <alignment vertical="center"/>
    </xf>
    <xf numFmtId="0" fontId="5" fillId="8" borderId="26" xfId="0" applyFont="1" applyFill="1" applyBorder="1" applyAlignment="1">
      <alignment vertical="center"/>
    </xf>
    <xf numFmtId="4" fontId="5" fillId="8" borderId="39" xfId="0" applyNumberFormat="1" applyFont="1" applyFill="1" applyBorder="1" applyAlignment="1">
      <alignment vertical="center"/>
    </xf>
    <xf numFmtId="4" fontId="3" fillId="0" borderId="0" xfId="0" applyNumberFormat="1" applyFont="1"/>
    <xf numFmtId="43" fontId="7" fillId="0" borderId="12" xfId="7" applyFont="1" applyFill="1" applyBorder="1"/>
    <xf numFmtId="4" fontId="33" fillId="7" borderId="31" xfId="1" applyNumberFormat="1" applyFont="1" applyFill="1" applyBorder="1" applyAlignment="1">
      <alignment horizontal="center"/>
    </xf>
    <xf numFmtId="4" fontId="29" fillId="8" borderId="40" xfId="0" applyNumberFormat="1" applyFont="1" applyFill="1" applyBorder="1" applyAlignment="1">
      <alignment horizontal="center"/>
    </xf>
    <xf numFmtId="164" fontId="33" fillId="7" borderId="31" xfId="1" applyFont="1" applyFill="1" applyBorder="1" applyAlignment="1">
      <alignment horizontal="center"/>
    </xf>
    <xf numFmtId="164" fontId="29" fillId="8" borderId="40" xfId="0" applyNumberFormat="1" applyFont="1" applyFill="1" applyBorder="1" applyAlignment="1">
      <alignment horizontal="center"/>
    </xf>
    <xf numFmtId="0" fontId="0" fillId="5" borderId="21" xfId="0" applyFill="1" applyBorder="1"/>
    <xf numFmtId="43" fontId="0" fillId="0" borderId="6" xfId="7" applyFont="1" applyBorder="1"/>
    <xf numFmtId="0" fontId="9" fillId="2" borderId="50" xfId="0" applyFont="1" applyFill="1" applyBorder="1" applyAlignment="1">
      <alignment horizontal="center"/>
    </xf>
    <xf numFmtId="43" fontId="19" fillId="3" borderId="10" xfId="10" applyNumberFormat="1" applyBorder="1"/>
    <xf numFmtId="0" fontId="0" fillId="0" borderId="51" xfId="0" applyFont="1" applyBorder="1"/>
    <xf numFmtId="0" fontId="9" fillId="2" borderId="52" xfId="0" applyFont="1" applyFill="1" applyBorder="1" applyAlignment="1">
      <alignment horizontal="center"/>
    </xf>
    <xf numFmtId="0" fontId="9" fillId="2" borderId="53" xfId="0" applyFont="1" applyFill="1" applyBorder="1" applyAlignment="1">
      <alignment horizontal="center"/>
    </xf>
    <xf numFmtId="43" fontId="5" fillId="0" borderId="53" xfId="0" applyNumberFormat="1" applyFont="1" applyBorder="1" applyAlignment="1">
      <alignment horizontal="center"/>
    </xf>
    <xf numFmtId="43" fontId="0" fillId="0" borderId="54" xfId="7" applyFont="1" applyBorder="1"/>
    <xf numFmtId="0" fontId="0" fillId="0" borderId="55" xfId="0" quotePrefix="1" applyFont="1" applyFill="1" applyBorder="1" applyAlignment="1">
      <alignment horizontal="left"/>
    </xf>
    <xf numFmtId="0" fontId="0" fillId="0" borderId="56" xfId="0" quotePrefix="1" applyFont="1" applyFill="1" applyBorder="1" applyAlignment="1">
      <alignment horizontal="left"/>
    </xf>
    <xf numFmtId="0" fontId="0" fillId="0" borderId="57" xfId="0" applyFont="1" applyBorder="1"/>
    <xf numFmtId="0" fontId="9" fillId="2" borderId="6" xfId="0" applyFont="1" applyFill="1" applyBorder="1" applyAlignment="1">
      <alignment horizontal="center" vertical="center"/>
    </xf>
    <xf numFmtId="43" fontId="0" fillId="0" borderId="12" xfId="7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2" xfId="0" applyFont="1" applyFill="1" applyBorder="1"/>
    <xf numFmtId="43" fontId="6" fillId="0" borderId="6" xfId="0" applyNumberFormat="1" applyFont="1" applyFill="1" applyBorder="1" applyAlignment="1">
      <alignment horizontal="center"/>
    </xf>
    <xf numFmtId="43" fontId="19" fillId="0" borderId="10" xfId="10" applyNumberFormat="1" applyFill="1"/>
    <xf numFmtId="43" fontId="6" fillId="0" borderId="2" xfId="0" applyNumberFormat="1" applyFont="1" applyFill="1" applyBorder="1" applyAlignment="1">
      <alignment horizontal="center"/>
    </xf>
    <xf numFmtId="43" fontId="3" fillId="0" borderId="2" xfId="0" applyNumberFormat="1" applyFont="1" applyFill="1" applyBorder="1" applyAlignment="1">
      <alignment horizontal="center"/>
    </xf>
    <xf numFmtId="43" fontId="20" fillId="0" borderId="11" xfId="11" applyNumberFormat="1" applyFont="1" applyFill="1"/>
    <xf numFmtId="43" fontId="14" fillId="0" borderId="11" xfId="11" applyNumberFormat="1" applyFont="1" applyFill="1"/>
    <xf numFmtId="43" fontId="5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165" fontId="34" fillId="0" borderId="0" xfId="0" applyNumberFormat="1" applyFont="1" applyFill="1" applyBorder="1" applyAlignment="1">
      <alignment horizontal="right"/>
    </xf>
    <xf numFmtId="43" fontId="8" fillId="0" borderId="10" xfId="10" applyNumberFormat="1" applyFont="1" applyFill="1" applyBorder="1"/>
    <xf numFmtId="43" fontId="7" fillId="0" borderId="54" xfId="7" applyFont="1" applyBorder="1"/>
    <xf numFmtId="43" fontId="8" fillId="5" borderId="10" xfId="10" applyNumberFormat="1" applyFont="1" applyFill="1"/>
    <xf numFmtId="43" fontId="8" fillId="0" borderId="12" xfId="7" applyFont="1" applyFill="1" applyBorder="1"/>
    <xf numFmtId="43" fontId="8" fillId="0" borderId="10" xfId="10" applyNumberFormat="1" applyFont="1" applyFill="1"/>
    <xf numFmtId="43" fontId="14" fillId="5" borderId="10" xfId="10" applyNumberFormat="1" applyFont="1" applyFill="1"/>
    <xf numFmtId="0" fontId="35" fillId="0" borderId="0" xfId="0" applyFont="1"/>
    <xf numFmtId="43" fontId="19" fillId="0" borderId="10" xfId="10" applyNumberForma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3" xfId="0" quotePrefix="1" applyFont="1" applyFill="1" applyBorder="1" applyAlignment="1">
      <alignment horizontal="left" wrapText="1"/>
    </xf>
    <xf numFmtId="0" fontId="0" fillId="0" borderId="4" xfId="0" quotePrefix="1" applyFont="1" applyFill="1" applyBorder="1" applyAlignment="1">
      <alignment horizontal="left" wrapText="1"/>
    </xf>
    <xf numFmtId="0" fontId="0" fillId="0" borderId="5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5" fillId="12" borderId="44" xfId="0" applyFont="1" applyFill="1" applyBorder="1" applyAlignment="1">
      <alignment horizontal="center" vertical="center"/>
    </xf>
    <xf numFmtId="0" fontId="5" fillId="12" borderId="45" xfId="0" applyFont="1" applyFill="1" applyBorder="1" applyAlignment="1">
      <alignment horizontal="center" vertical="center"/>
    </xf>
    <xf numFmtId="0" fontId="5" fillId="12" borderId="46" xfId="0" applyFont="1" applyFill="1" applyBorder="1" applyAlignment="1">
      <alignment horizontal="center" vertical="center"/>
    </xf>
    <xf numFmtId="0" fontId="5" fillId="8" borderId="44" xfId="0" applyFont="1" applyFill="1" applyBorder="1" applyAlignment="1">
      <alignment horizontal="center" vertical="center"/>
    </xf>
    <xf numFmtId="0" fontId="5" fillId="8" borderId="45" xfId="0" applyFont="1" applyFill="1" applyBorder="1" applyAlignment="1">
      <alignment horizontal="center" vertical="center"/>
    </xf>
    <xf numFmtId="0" fontId="5" fillId="8" borderId="46" xfId="0" applyFont="1" applyFill="1" applyBorder="1" applyAlignment="1">
      <alignment horizontal="center" vertical="center"/>
    </xf>
    <xf numFmtId="0" fontId="5" fillId="12" borderId="25" xfId="0" applyFont="1" applyFill="1" applyBorder="1" applyAlignment="1">
      <alignment horizontal="center" vertical="center"/>
    </xf>
    <xf numFmtId="0" fontId="5" fillId="12" borderId="26" xfId="0" applyFont="1" applyFill="1" applyBorder="1" applyAlignment="1">
      <alignment horizontal="center" vertical="center"/>
    </xf>
    <xf numFmtId="0" fontId="5" fillId="12" borderId="39" xfId="0" applyFont="1" applyFill="1" applyBorder="1" applyAlignment="1">
      <alignment horizontal="center" vertical="center"/>
    </xf>
    <xf numFmtId="0" fontId="5" fillId="8" borderId="25" xfId="0" applyFont="1" applyFill="1" applyBorder="1" applyAlignment="1">
      <alignment horizontal="center" vertical="center"/>
    </xf>
    <xf numFmtId="0" fontId="5" fillId="8" borderId="26" xfId="0" applyFont="1" applyFill="1" applyBorder="1" applyAlignment="1">
      <alignment horizontal="center" vertical="center"/>
    </xf>
    <xf numFmtId="0" fontId="5" fillId="8" borderId="39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12" borderId="47" xfId="0" applyFont="1" applyFill="1" applyBorder="1" applyAlignment="1">
      <alignment horizontal="center" vertical="center"/>
    </xf>
    <xf numFmtId="0" fontId="5" fillId="12" borderId="48" xfId="0" applyFont="1" applyFill="1" applyBorder="1" applyAlignment="1">
      <alignment horizontal="center" vertical="center"/>
    </xf>
    <xf numFmtId="0" fontId="5" fillId="12" borderId="49" xfId="0" applyFont="1" applyFill="1" applyBorder="1" applyAlignment="1">
      <alignment horizontal="center" vertical="center"/>
    </xf>
    <xf numFmtId="0" fontId="5" fillId="8" borderId="47" xfId="0" applyFont="1" applyFill="1" applyBorder="1" applyAlignment="1">
      <alignment horizontal="center" vertical="center"/>
    </xf>
    <xf numFmtId="0" fontId="5" fillId="8" borderId="48" xfId="0" applyFont="1" applyFill="1" applyBorder="1" applyAlignment="1">
      <alignment horizontal="center" vertical="center"/>
    </xf>
    <xf numFmtId="0" fontId="5" fillId="8" borderId="4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/>
    </xf>
    <xf numFmtId="0" fontId="4" fillId="12" borderId="26" xfId="0" applyFont="1" applyFill="1" applyBorder="1" applyAlignment="1">
      <alignment horizontal="center"/>
    </xf>
    <xf numFmtId="0" fontId="4" fillId="12" borderId="39" xfId="0" applyFont="1" applyFill="1" applyBorder="1" applyAlignment="1">
      <alignment horizontal="center"/>
    </xf>
    <xf numFmtId="0" fontId="4" fillId="8" borderId="25" xfId="0" applyFont="1" applyFill="1" applyBorder="1" applyAlignment="1">
      <alignment horizontal="center"/>
    </xf>
    <xf numFmtId="0" fontId="4" fillId="8" borderId="26" xfId="0" applyFont="1" applyFill="1" applyBorder="1" applyAlignment="1">
      <alignment horizontal="center"/>
    </xf>
    <xf numFmtId="0" fontId="4" fillId="8" borderId="39" xfId="0" applyFont="1" applyFill="1" applyBorder="1" applyAlignment="1">
      <alignment horizontal="center"/>
    </xf>
    <xf numFmtId="0" fontId="5" fillId="12" borderId="25" xfId="0" applyFont="1" applyFill="1" applyBorder="1" applyAlignment="1" applyProtection="1">
      <alignment horizontal="center"/>
    </xf>
    <xf numFmtId="0" fontId="5" fillId="12" borderId="26" xfId="0" applyFont="1" applyFill="1" applyBorder="1" applyAlignment="1" applyProtection="1">
      <alignment horizontal="center"/>
    </xf>
    <xf numFmtId="0" fontId="5" fillId="12" borderId="39" xfId="0" applyFont="1" applyFill="1" applyBorder="1" applyAlignment="1" applyProtection="1">
      <alignment horizontal="center"/>
    </xf>
    <xf numFmtId="0" fontId="5" fillId="8" borderId="25" xfId="0" applyFont="1" applyFill="1" applyBorder="1" applyAlignment="1" applyProtection="1">
      <alignment horizontal="center"/>
    </xf>
    <xf numFmtId="0" fontId="5" fillId="8" borderId="26" xfId="0" applyFont="1" applyFill="1" applyBorder="1" applyAlignment="1" applyProtection="1">
      <alignment horizontal="center"/>
    </xf>
    <xf numFmtId="0" fontId="5" fillId="8" borderId="39" xfId="0" applyFont="1" applyFill="1" applyBorder="1" applyAlignment="1" applyProtection="1">
      <alignment horizontal="center"/>
    </xf>
    <xf numFmtId="0" fontId="0" fillId="2" borderId="35" xfId="0" applyFill="1" applyBorder="1" applyAlignment="1">
      <alignment horizontal="left"/>
    </xf>
    <xf numFmtId="164" fontId="3" fillId="8" borderId="20" xfId="1" applyFont="1" applyFill="1" applyBorder="1" applyAlignment="1">
      <alignment horizontal="left" vertical="top" wrapText="1"/>
    </xf>
    <xf numFmtId="164" fontId="3" fillId="8" borderId="0" xfId="1" applyFont="1" applyFill="1" applyBorder="1" applyAlignment="1">
      <alignment horizontal="left" vertical="top" wrapText="1"/>
    </xf>
    <xf numFmtId="164" fontId="3" fillId="8" borderId="21" xfId="1" applyFont="1" applyFill="1" applyBorder="1" applyAlignment="1">
      <alignment horizontal="left" vertical="top" wrapText="1"/>
    </xf>
    <xf numFmtId="164" fontId="3" fillId="8" borderId="22" xfId="1" applyFont="1" applyFill="1" applyBorder="1" applyAlignment="1">
      <alignment horizontal="left" vertical="top" wrapText="1"/>
    </xf>
    <xf numFmtId="164" fontId="3" fillId="8" borderId="23" xfId="1" applyFont="1" applyFill="1" applyBorder="1" applyAlignment="1">
      <alignment horizontal="left" vertical="top" wrapText="1"/>
    </xf>
    <xf numFmtId="164" fontId="3" fillId="8" borderId="24" xfId="1" applyFont="1" applyFill="1" applyBorder="1" applyAlignment="1">
      <alignment horizontal="left" vertical="top" wrapText="1"/>
    </xf>
    <xf numFmtId="0" fontId="24" fillId="2" borderId="15" xfId="0" applyFont="1" applyFill="1" applyBorder="1" applyAlignment="1">
      <alignment horizontal="center"/>
    </xf>
    <xf numFmtId="0" fontId="24" fillId="2" borderId="13" xfId="0" applyFont="1" applyFill="1" applyBorder="1" applyAlignment="1">
      <alignment horizontal="center"/>
    </xf>
    <xf numFmtId="43" fontId="0" fillId="2" borderId="15" xfId="7" applyFont="1" applyFill="1" applyBorder="1" applyAlignment="1">
      <alignment vertical="center" wrapText="1"/>
    </xf>
    <xf numFmtId="43" fontId="0" fillId="2" borderId="13" xfId="7" applyFon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28" fillId="2" borderId="25" xfId="0" applyFont="1" applyFill="1" applyBorder="1" applyAlignment="1">
      <alignment horizontal="center"/>
    </xf>
    <xf numFmtId="0" fontId="28" fillId="2" borderId="39" xfId="0" applyFont="1" applyFill="1" applyBorder="1" applyAlignment="1">
      <alignment horizontal="center"/>
    </xf>
    <xf numFmtId="0" fontId="0" fillId="0" borderId="31" xfId="0" applyFill="1" applyBorder="1" applyAlignment="1">
      <alignment horizontal="left"/>
    </xf>
    <xf numFmtId="0" fontId="0" fillId="2" borderId="31" xfId="0" quotePrefix="1" applyFill="1" applyBorder="1" applyAlignment="1">
      <alignment horizontal="left"/>
    </xf>
    <xf numFmtId="0" fontId="0" fillId="2" borderId="31" xfId="0" applyFill="1" applyBorder="1" applyAlignment="1">
      <alignment horizontal="left"/>
    </xf>
  </cellXfs>
  <cellStyles count="12">
    <cellStyle name="Entrada" xfId="10" builtinId="20"/>
    <cellStyle name="Moeda" xfId="8" builtinId="4"/>
    <cellStyle name="Normal" xfId="0" builtinId="0"/>
    <cellStyle name="Normal 2" xfId="3"/>
    <cellStyle name="Porcentagem" xfId="9" builtinId="5"/>
    <cellStyle name="Porcentagem 2" xfId="2"/>
    <cellStyle name="Porcentagem 3" xfId="5"/>
    <cellStyle name="Saída" xfId="11" builtinId="21"/>
    <cellStyle name="Separador de milhares 2" xfId="1"/>
    <cellStyle name="Separador de milhares 3" xfId="4"/>
    <cellStyle name="Vírgula" xfId="7" builtinId="3"/>
    <cellStyle name="Vírgula 2" xfId="6"/>
  </cellStyles>
  <dxfs count="0"/>
  <tableStyles count="0" defaultTableStyle="TableStyleMedium2" defaultPivotStyle="PivotStyleLight16"/>
  <colors>
    <mruColors>
      <color rgb="FFC6EFCE"/>
      <color rgb="FFFFC7CE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19</xdr:row>
      <xdr:rowOff>190500</xdr:rowOff>
    </xdr:from>
    <xdr:to>
      <xdr:col>6</xdr:col>
      <xdr:colOff>830852</xdr:colOff>
      <xdr:row>22</xdr:row>
      <xdr:rowOff>101513</xdr:rowOff>
    </xdr:to>
    <xdr:sp macro="[1]!SEM_IR" textlink="">
      <xdr:nvSpPr>
        <xdr:cNvPr id="2" name="Retângulo de cantos arredondados 5"/>
        <xdr:cNvSpPr/>
      </xdr:nvSpPr>
      <xdr:spPr>
        <a:xfrm>
          <a:off x="8048625" y="4076700"/>
          <a:ext cx="2421527" cy="492038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IMPRESSÃO - COLUNA</a:t>
          </a:r>
          <a:r>
            <a:rPr lang="pt-BR" sz="1100" b="1" baseline="0">
              <a:solidFill>
                <a:sysClr val="windowText" lastClr="000000"/>
              </a:solidFill>
            </a:rPr>
            <a:t> SEM RETENÇÃO DE IR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103825</xdr:colOff>
      <xdr:row>22</xdr:row>
      <xdr:rowOff>166689</xdr:rowOff>
    </xdr:from>
    <xdr:to>
      <xdr:col>6</xdr:col>
      <xdr:colOff>848952</xdr:colOff>
      <xdr:row>23</xdr:row>
      <xdr:rowOff>465845</xdr:rowOff>
    </xdr:to>
    <xdr:sp macro="[1]!COM_IR" textlink="">
      <xdr:nvSpPr>
        <xdr:cNvPr id="3" name="Retângulo de cantos arredondados 6"/>
        <xdr:cNvSpPr/>
      </xdr:nvSpPr>
      <xdr:spPr>
        <a:xfrm>
          <a:off x="8066725" y="4633914"/>
          <a:ext cx="2421527" cy="499181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IMPRESSÃO - COLUNA</a:t>
          </a:r>
          <a:r>
            <a:rPr lang="pt-BR" sz="1100" b="1" baseline="0">
              <a:solidFill>
                <a:sysClr val="windowText" lastClr="000000"/>
              </a:solidFill>
            </a:rPr>
            <a:t> COM RETENÇÃO DE IR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19</xdr:row>
      <xdr:rowOff>190500</xdr:rowOff>
    </xdr:from>
    <xdr:to>
      <xdr:col>6</xdr:col>
      <xdr:colOff>830852</xdr:colOff>
      <xdr:row>22</xdr:row>
      <xdr:rowOff>101513</xdr:rowOff>
    </xdr:to>
    <xdr:sp macro="[1]!SEM_IR" textlink="">
      <xdr:nvSpPr>
        <xdr:cNvPr id="2" name="Retângulo de cantos arredondados 5"/>
        <xdr:cNvSpPr/>
      </xdr:nvSpPr>
      <xdr:spPr>
        <a:xfrm>
          <a:off x="8048625" y="4076700"/>
          <a:ext cx="2421527" cy="492038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IMPRESSÃO - COLUNA</a:t>
          </a:r>
          <a:r>
            <a:rPr lang="pt-BR" sz="1100" b="1" baseline="0">
              <a:solidFill>
                <a:sysClr val="windowText" lastClr="000000"/>
              </a:solidFill>
            </a:rPr>
            <a:t> SEM RETENÇÃO DE IR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103825</xdr:colOff>
      <xdr:row>22</xdr:row>
      <xdr:rowOff>166689</xdr:rowOff>
    </xdr:from>
    <xdr:to>
      <xdr:col>6</xdr:col>
      <xdr:colOff>848952</xdr:colOff>
      <xdr:row>23</xdr:row>
      <xdr:rowOff>465845</xdr:rowOff>
    </xdr:to>
    <xdr:sp macro="[1]!COM_IR" textlink="">
      <xdr:nvSpPr>
        <xdr:cNvPr id="3" name="Retângulo de cantos arredondados 6"/>
        <xdr:cNvSpPr/>
      </xdr:nvSpPr>
      <xdr:spPr>
        <a:xfrm>
          <a:off x="8066725" y="4633914"/>
          <a:ext cx="2421527" cy="499181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IMPRESSÃO - COLUNA</a:t>
          </a:r>
          <a:r>
            <a:rPr lang="pt-BR" sz="1100" b="1" baseline="0">
              <a:solidFill>
                <a:sysClr val="windowText" lastClr="000000"/>
              </a:solidFill>
            </a:rPr>
            <a:t> COM RETENÇÃO DE IR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erio.paiva/Downloads/C&#225;lculo%20Importa&#231;&#227;o%20de%20Servi&#231;os%20invoice%2002433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uguês"/>
      <sheetName val="RESUMO"/>
      <sheetName val="Planilha1"/>
      <sheetName val="Cálculo Importação de Serviços "/>
    </sheetNames>
    <definedNames>
      <definedName name="COM_IR"/>
      <definedName name="SEM_IR"/>
    </defined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theme="4" tint="0.39997558519241921"/>
    <outlinePr summaryBelow="0"/>
    <pageSetUpPr fitToPage="1"/>
  </sheetPr>
  <dimension ref="B1:Q31"/>
  <sheetViews>
    <sheetView showGridLines="0" tabSelected="1" zoomScale="120" zoomScaleNormal="120" workbookViewId="0">
      <selection activeCell="C2" sqref="C2"/>
    </sheetView>
  </sheetViews>
  <sheetFormatPr defaultColWidth="8.85546875" defaultRowHeight="15" x14ac:dyDescent="0.25"/>
  <cols>
    <col min="1" max="1" width="1.28515625" style="1" customWidth="1"/>
    <col min="2" max="2" width="6" style="1" customWidth="1"/>
    <col min="3" max="3" width="75.42578125" style="1" customWidth="1"/>
    <col min="4" max="4" width="7.5703125" style="1" bestFit="1" customWidth="1"/>
    <col min="5" max="5" width="15.140625" style="1" bestFit="1" customWidth="1"/>
    <col min="6" max="6" width="14.28515625" style="1" customWidth="1"/>
    <col min="7" max="7" width="2.42578125" style="10" customWidth="1"/>
    <col min="8" max="8" width="6.28515625" style="11" customWidth="1"/>
    <col min="9" max="9" width="46.140625" style="10" customWidth="1"/>
    <col min="10" max="10" width="12.140625" style="1" bestFit="1" customWidth="1"/>
    <col min="11" max="11" width="10" style="1" bestFit="1" customWidth="1"/>
    <col min="12" max="16" width="8.85546875" style="1"/>
    <col min="17" max="17" width="10.28515625" style="1" bestFit="1" customWidth="1"/>
    <col min="18" max="16384" width="8.85546875" style="1"/>
  </cols>
  <sheetData>
    <row r="1" spans="2:17" ht="10.5" customHeight="1" thickBot="1" x14ac:dyDescent="0.3">
      <c r="B1" s="4"/>
      <c r="G1" s="5"/>
    </row>
    <row r="2" spans="2:17" ht="45.75" customHeight="1" thickBot="1" x14ac:dyDescent="0.25">
      <c r="B2" s="34" t="s">
        <v>0</v>
      </c>
      <c r="C2" s="35" t="s">
        <v>1</v>
      </c>
      <c r="D2" s="35" t="s">
        <v>20</v>
      </c>
      <c r="E2" s="35" t="s">
        <v>134</v>
      </c>
      <c r="F2" s="36" t="s">
        <v>144</v>
      </c>
      <c r="G2" s="213" t="s">
        <v>5</v>
      </c>
      <c r="H2" s="213"/>
      <c r="I2" s="213"/>
    </row>
    <row r="3" spans="2:17" x14ac:dyDescent="0.25">
      <c r="B3" s="30">
        <v>1</v>
      </c>
      <c r="C3" s="194" t="s">
        <v>36</v>
      </c>
      <c r="D3" s="196" t="s">
        <v>21</v>
      </c>
      <c r="E3" s="207">
        <v>5908.2681310245243</v>
      </c>
      <c r="F3" s="208">
        <f>(F6-F5)/(58*3+51*1)*(58*3)</f>
        <v>5908.2681310245243</v>
      </c>
      <c r="G3" s="31" t="s">
        <v>6</v>
      </c>
      <c r="H3" s="32"/>
      <c r="I3" s="33"/>
    </row>
    <row r="4" spans="2:17" ht="15.95" customHeight="1" x14ac:dyDescent="0.25">
      <c r="B4" s="12">
        <v>2</v>
      </c>
      <c r="C4" s="195" t="s">
        <v>35</v>
      </c>
      <c r="D4" s="198" t="s">
        <v>21</v>
      </c>
      <c r="E4" s="208">
        <f>E3/(58*3)*(51*1)</f>
        <v>1731.7337625416708</v>
      </c>
      <c r="F4" s="208">
        <f>(F6-F5)/(58*3+51*1)*(51*1)</f>
        <v>1731.7337625416708</v>
      </c>
      <c r="G4" s="21" t="s">
        <v>6</v>
      </c>
      <c r="H4" s="22"/>
      <c r="I4" s="23"/>
    </row>
    <row r="5" spans="2:17" ht="15.95" customHeight="1" x14ac:dyDescent="0.25">
      <c r="B5" s="12">
        <v>3</v>
      </c>
      <c r="C5" s="195" t="s">
        <v>8</v>
      </c>
      <c r="D5" s="198" t="s">
        <v>21</v>
      </c>
      <c r="E5" s="207">
        <v>1086.56</v>
      </c>
      <c r="F5" s="209">
        <f>E5</f>
        <v>1086.56</v>
      </c>
      <c r="G5" s="21" t="s">
        <v>6</v>
      </c>
      <c r="H5" s="22"/>
      <c r="I5" s="23"/>
    </row>
    <row r="6" spans="2:17" ht="15.95" customHeight="1" x14ac:dyDescent="0.25">
      <c r="B6" s="12">
        <v>4</v>
      </c>
      <c r="C6" s="195" t="s">
        <v>136</v>
      </c>
      <c r="D6" s="202" t="s">
        <v>21</v>
      </c>
      <c r="E6" s="175">
        <f>E5+E4+E3</f>
        <v>8726.5618935661951</v>
      </c>
      <c r="F6" s="200">
        <f>(F20-F18)/(F7*((H10%/(1-H10%)+((1+H10%/(1-H10%))*(J14*($H$15%+$H$16%)+($H$12%+$H$13%)/(1-$H$13%))))+H17%+1))</f>
        <v>8726.5618935661951</v>
      </c>
      <c r="G6" s="21" t="s">
        <v>4</v>
      </c>
      <c r="H6" s="24" t="s">
        <v>7</v>
      </c>
      <c r="I6" s="23"/>
      <c r="J6" s="2"/>
      <c r="K6" s="38"/>
    </row>
    <row r="7" spans="2:17" ht="15.95" customHeight="1" x14ac:dyDescent="0.25">
      <c r="B7" s="12">
        <v>5</v>
      </c>
      <c r="C7" s="195" t="s">
        <v>37</v>
      </c>
      <c r="D7" s="199" t="s">
        <v>6</v>
      </c>
      <c r="E7" s="207">
        <v>4.0999999999999996</v>
      </c>
      <c r="F7" s="197">
        <f>E7</f>
        <v>4.0999999999999996</v>
      </c>
      <c r="G7" s="21" t="s">
        <v>6</v>
      </c>
      <c r="H7" s="22"/>
      <c r="I7" s="23"/>
    </row>
    <row r="8" spans="2:17" ht="15.95" customHeight="1" x14ac:dyDescent="0.25">
      <c r="B8" s="12">
        <v>6</v>
      </c>
      <c r="C8" s="13" t="s">
        <v>135</v>
      </c>
      <c r="D8" s="18" t="s">
        <v>22</v>
      </c>
      <c r="E8" s="46">
        <f>E7*E6</f>
        <v>35778.903763621398</v>
      </c>
      <c r="F8" s="46">
        <f>F7*F6</f>
        <v>35778.903763621398</v>
      </c>
      <c r="G8" s="21" t="s">
        <v>4</v>
      </c>
      <c r="H8" s="22" t="s">
        <v>10</v>
      </c>
      <c r="I8" s="23"/>
      <c r="J8" s="38"/>
    </row>
    <row r="9" spans="2:17" ht="15.95" customHeight="1" x14ac:dyDescent="0.25">
      <c r="B9" s="12">
        <v>7</v>
      </c>
      <c r="C9" s="13" t="s">
        <v>18</v>
      </c>
      <c r="D9" s="18" t="s">
        <v>22</v>
      </c>
      <c r="E9" s="46">
        <f>E8/(1-H10%)</f>
        <v>42092.827957201647</v>
      </c>
      <c r="F9" s="46">
        <f>F8/(1-H10%)</f>
        <v>42092.827957201647</v>
      </c>
      <c r="G9" s="48" t="s">
        <v>4</v>
      </c>
      <c r="H9" s="49" t="s">
        <v>133</v>
      </c>
      <c r="I9" s="23"/>
    </row>
    <row r="10" spans="2:17" ht="15.95" customHeight="1" x14ac:dyDescent="0.25">
      <c r="B10" s="17">
        <v>8</v>
      </c>
      <c r="C10" s="16" t="s">
        <v>19</v>
      </c>
      <c r="D10" s="15" t="s">
        <v>22</v>
      </c>
      <c r="E10" s="45">
        <f>E9*H10%</f>
        <v>6313.9241935802465</v>
      </c>
      <c r="F10" s="45">
        <f>F9*H10%</f>
        <v>6313.9241935802465</v>
      </c>
      <c r="G10" s="48" t="s">
        <v>4</v>
      </c>
      <c r="H10" s="37">
        <v>15</v>
      </c>
      <c r="I10" s="25" t="s">
        <v>9</v>
      </c>
      <c r="J10" s="38"/>
    </row>
    <row r="11" spans="2:17" s="3" customFormat="1" ht="15.95" customHeight="1" x14ac:dyDescent="0.25">
      <c r="B11" s="17">
        <v>9</v>
      </c>
      <c r="C11" s="13" t="s">
        <v>11</v>
      </c>
      <c r="D11" s="18" t="s">
        <v>22</v>
      </c>
      <c r="E11" s="46">
        <f>((E8+E10)/(1-$H$13%))</f>
        <v>44308.239954949102</v>
      </c>
      <c r="F11" s="46">
        <f>(F8+F10)/(1-$H$13%)</f>
        <v>44308.239954949102</v>
      </c>
      <c r="G11" s="21" t="s">
        <v>4</v>
      </c>
      <c r="H11" s="26" t="str">
        <f>"(Valor Invoice Convertida em R$ + IRF) / (100% - "&amp;H13&amp;"%)"</f>
        <v>(Valor Invoice Convertida em R$ + IRF) / (100% - 5%)</v>
      </c>
      <c r="I11" s="27"/>
      <c r="J11" s="41"/>
    </row>
    <row r="12" spans="2:17" ht="15.95" customHeight="1" x14ac:dyDescent="0.25">
      <c r="B12" s="17">
        <v>10</v>
      </c>
      <c r="C12" s="13" t="s">
        <v>17</v>
      </c>
      <c r="D12" s="15" t="s">
        <v>22</v>
      </c>
      <c r="E12" s="45">
        <f>E11*$H$12%</f>
        <v>4430.8239954949104</v>
      </c>
      <c r="F12" s="45">
        <f>F11*$H$12%</f>
        <v>4430.8239954949104</v>
      </c>
      <c r="G12" s="21" t="s">
        <v>4</v>
      </c>
      <c r="H12" s="37">
        <v>10</v>
      </c>
      <c r="I12" s="28" t="s">
        <v>137</v>
      </c>
      <c r="J12" s="42"/>
    </row>
    <row r="13" spans="2:17" ht="15.95" customHeight="1" x14ac:dyDescent="0.25">
      <c r="B13" s="17">
        <v>11</v>
      </c>
      <c r="C13" s="13" t="s">
        <v>16</v>
      </c>
      <c r="D13" s="15" t="s">
        <v>22</v>
      </c>
      <c r="E13" s="45">
        <f>E11*$H$13%</f>
        <v>2215.4119977474552</v>
      </c>
      <c r="F13" s="45">
        <f>F11*$H$13%</f>
        <v>2215.4119977474552</v>
      </c>
      <c r="G13" s="21" t="s">
        <v>4</v>
      </c>
      <c r="H13" s="37">
        <v>5</v>
      </c>
      <c r="I13" s="28" t="s">
        <v>137</v>
      </c>
      <c r="J13" s="42"/>
      <c r="K13" s="2"/>
    </row>
    <row r="14" spans="2:17" ht="15.95" customHeight="1" x14ac:dyDescent="0.25">
      <c r="B14" s="17">
        <v>12</v>
      </c>
      <c r="C14" s="13" t="s">
        <v>12</v>
      </c>
      <c r="D14" s="18" t="s">
        <v>22</v>
      </c>
      <c r="E14" s="175">
        <f>(E8+E10)*J14</f>
        <v>48702.445570315955</v>
      </c>
      <c r="F14" s="46">
        <f>(F8+F10)*J14</f>
        <v>48702.445570315955</v>
      </c>
      <c r="G14" s="21" t="s">
        <v>4</v>
      </c>
      <c r="H14" s="203" t="s">
        <v>141</v>
      </c>
      <c r="I14" s="23"/>
      <c r="J14" s="204">
        <f>(1+H13%)/(1-H15%-H16%)</f>
        <v>1.1570247933884297</v>
      </c>
      <c r="Q14" s="2"/>
    </row>
    <row r="15" spans="2:17" ht="15.95" customHeight="1" x14ac:dyDescent="0.25">
      <c r="B15" s="17">
        <v>13</v>
      </c>
      <c r="C15" s="13" t="s">
        <v>13</v>
      </c>
      <c r="D15" s="15" t="s">
        <v>22</v>
      </c>
      <c r="E15" s="45">
        <f>E14*$H$15%</f>
        <v>803.59035191021326</v>
      </c>
      <c r="F15" s="45">
        <f>F14*$H$15%</f>
        <v>803.59035191021326</v>
      </c>
      <c r="G15" s="21" t="s">
        <v>4</v>
      </c>
      <c r="H15" s="37">
        <v>1.65</v>
      </c>
      <c r="I15" s="29" t="str">
        <f>"% da base de cálculo PIS/COFINS (item 12)"</f>
        <v>% da base de cálculo PIS/COFINS (item 12)</v>
      </c>
      <c r="J15" s="42"/>
    </row>
    <row r="16" spans="2:17" ht="15.95" customHeight="1" x14ac:dyDescent="0.25">
      <c r="B16" s="17">
        <v>14</v>
      </c>
      <c r="C16" s="13" t="s">
        <v>14</v>
      </c>
      <c r="D16" s="15" t="s">
        <v>22</v>
      </c>
      <c r="E16" s="45">
        <f>E14*$H$16%</f>
        <v>3701.3858633440123</v>
      </c>
      <c r="F16" s="45">
        <f>F14*$H$16%</f>
        <v>3701.3858633440123</v>
      </c>
      <c r="G16" s="21" t="s">
        <v>4</v>
      </c>
      <c r="H16" s="37">
        <v>7.6</v>
      </c>
      <c r="I16" s="29" t="str">
        <f>"% da base de cálculo PIS/COFINS (item 12)"</f>
        <v>% da base de cálculo PIS/COFINS (item 12)</v>
      </c>
      <c r="J16" s="42"/>
      <c r="K16" s="9"/>
    </row>
    <row r="17" spans="2:11" ht="15.95" customHeight="1" x14ac:dyDescent="0.25">
      <c r="B17" s="17">
        <v>15</v>
      </c>
      <c r="C17" s="13" t="s">
        <v>15</v>
      </c>
      <c r="D17" s="15" t="s">
        <v>22</v>
      </c>
      <c r="E17" s="45">
        <f>E8*H17%</f>
        <v>135.9598343017613</v>
      </c>
      <c r="F17" s="45">
        <f>H17%*F8</f>
        <v>135.9598343017613</v>
      </c>
      <c r="G17" s="21" t="s">
        <v>4</v>
      </c>
      <c r="H17" s="37">
        <v>0.38</v>
      </c>
      <c r="I17" s="29" t="str">
        <f>"% do Valor Remetido (item 6)"</f>
        <v>% do Valor Remetido (item 6)</v>
      </c>
      <c r="J17" s="40"/>
    </row>
    <row r="18" spans="2:11" ht="15.95" customHeight="1" x14ac:dyDescent="0.25">
      <c r="B18" s="17">
        <v>16</v>
      </c>
      <c r="C18" s="13" t="s">
        <v>142</v>
      </c>
      <c r="D18" s="15" t="s">
        <v>22</v>
      </c>
      <c r="E18" s="143">
        <f>(490+70*E7)*(58+2)</f>
        <v>46620</v>
      </c>
      <c r="F18" s="50">
        <f>E18</f>
        <v>46620</v>
      </c>
      <c r="G18" s="21" t="s">
        <v>4</v>
      </c>
      <c r="H18" s="24" t="s">
        <v>3</v>
      </c>
      <c r="I18" s="23"/>
      <c r="J18" s="43"/>
    </row>
    <row r="19" spans="2:11" ht="15.95" customHeight="1" x14ac:dyDescent="0.25">
      <c r="B19" s="17">
        <v>17</v>
      </c>
      <c r="C19" s="195" t="s">
        <v>140</v>
      </c>
      <c r="D19" s="18" t="s">
        <v>22</v>
      </c>
      <c r="E19" s="175">
        <f>E10+E12+E13+E15+E16+E17+E18</f>
        <v>64221.096236378595</v>
      </c>
      <c r="F19" s="46">
        <f>F10+F12+F13+F15+F16+F17+F18</f>
        <v>64221.096236378595</v>
      </c>
      <c r="G19" s="21" t="s">
        <v>4</v>
      </c>
      <c r="H19" s="24" t="s">
        <v>138</v>
      </c>
      <c r="I19" s="29"/>
      <c r="J19" s="40"/>
      <c r="K19" s="2"/>
    </row>
    <row r="20" spans="2:11" ht="15.95" customHeight="1" x14ac:dyDescent="0.25">
      <c r="B20" s="12">
        <v>18</v>
      </c>
      <c r="C20" s="19" t="s">
        <v>2</v>
      </c>
      <c r="D20" s="20" t="s">
        <v>22</v>
      </c>
      <c r="E20" s="201">
        <f>E19+E8</f>
        <v>100000</v>
      </c>
      <c r="F20" s="210">
        <v>100000</v>
      </c>
      <c r="G20" s="21" t="s">
        <v>4</v>
      </c>
      <c r="H20" s="24" t="s">
        <v>139</v>
      </c>
      <c r="I20" s="29"/>
      <c r="J20" s="44"/>
    </row>
    <row r="21" spans="2:11" ht="9" customHeight="1" x14ac:dyDescent="0.25">
      <c r="B21" s="6"/>
      <c r="C21" s="7"/>
      <c r="D21" s="8"/>
      <c r="E21" s="8"/>
      <c r="F21" s="8"/>
      <c r="J21" s="43"/>
    </row>
    <row r="22" spans="2:11" x14ac:dyDescent="0.25">
      <c r="B22" s="1" t="s">
        <v>143</v>
      </c>
      <c r="J22" s="43"/>
    </row>
    <row r="23" spans="2:11" ht="15" customHeight="1" x14ac:dyDescent="0.2">
      <c r="B23" s="214" t="s">
        <v>154</v>
      </c>
      <c r="C23" s="214"/>
      <c r="D23" s="214"/>
      <c r="E23" s="214"/>
      <c r="F23" s="214"/>
      <c r="G23" s="214"/>
      <c r="H23" s="214"/>
      <c r="I23" s="214"/>
      <c r="J23" s="43"/>
    </row>
    <row r="24" spans="2:11" ht="15" customHeight="1" x14ac:dyDescent="0.2">
      <c r="B24" s="214"/>
      <c r="C24" s="214"/>
      <c r="D24" s="214"/>
      <c r="E24" s="214"/>
      <c r="F24" s="214"/>
      <c r="G24" s="214"/>
      <c r="H24" s="214"/>
      <c r="I24" s="214"/>
    </row>
    <row r="25" spans="2:11" x14ac:dyDescent="0.25">
      <c r="B25" s="211" t="s">
        <v>153</v>
      </c>
      <c r="H25" s="1"/>
      <c r="I25" s="2"/>
    </row>
    <row r="26" spans="2:11" x14ac:dyDescent="0.25">
      <c r="C26" s="2"/>
      <c r="E26" s="2"/>
      <c r="F26" s="2"/>
      <c r="H26" s="1"/>
      <c r="I26" s="38"/>
    </row>
    <row r="27" spans="2:11" x14ac:dyDescent="0.25">
      <c r="H27" s="1"/>
      <c r="I27" s="38"/>
    </row>
    <row r="28" spans="2:11" x14ac:dyDescent="0.25">
      <c r="H28" s="1"/>
      <c r="I28" s="1"/>
    </row>
    <row r="29" spans="2:11" x14ac:dyDescent="0.25">
      <c r="H29" s="1"/>
      <c r="I29" s="1"/>
    </row>
    <row r="30" spans="2:11" x14ac:dyDescent="0.25">
      <c r="H30" s="1"/>
      <c r="I30" s="38"/>
    </row>
    <row r="31" spans="2:11" x14ac:dyDescent="0.25">
      <c r="F31" s="38"/>
    </row>
  </sheetData>
  <mergeCells count="2">
    <mergeCell ref="G2:I2"/>
    <mergeCell ref="B23:I24"/>
  </mergeCells>
  <pageMargins left="0.511811024" right="0.511811024" top="0.78740157499999996" bottom="0.78740157499999996" header="0.31496062000000002" footer="0.31496062000000002"/>
  <pageSetup paperSize="9" scale="82" orientation="landscape" r:id="rId1"/>
  <ignoredErrors>
    <ignoredError sqref="F6" formula="1"/>
    <ignoredError sqref="H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outlinePr summaryBelow="0"/>
    <pageSetUpPr fitToPage="1"/>
  </sheetPr>
  <dimension ref="B1:I23"/>
  <sheetViews>
    <sheetView showGridLines="0" zoomScale="120" zoomScaleNormal="120" workbookViewId="0">
      <selection activeCell="C2" sqref="C2"/>
    </sheetView>
  </sheetViews>
  <sheetFormatPr defaultColWidth="8.85546875" defaultRowHeight="15" x14ac:dyDescent="0.25"/>
  <cols>
    <col min="1" max="1" width="1.5703125" style="1" customWidth="1"/>
    <col min="2" max="2" width="8.140625" style="1" customWidth="1"/>
    <col min="3" max="3" width="64.28515625" style="1" customWidth="1"/>
    <col min="4" max="4" width="19.42578125" style="1" customWidth="1"/>
    <col min="5" max="5" width="14.85546875" style="1" customWidth="1"/>
    <col min="6" max="6" width="14.140625" style="1" hidden="1" customWidth="1"/>
    <col min="7" max="7" width="1.28515625" style="10" customWidth="1"/>
    <col min="8" max="8" width="9.28515625" style="11" customWidth="1"/>
    <col min="9" max="9" width="26.140625" style="10" customWidth="1"/>
    <col min="10" max="10" width="1" style="1" customWidth="1"/>
    <col min="11" max="11" width="12.140625" style="1" bestFit="1" customWidth="1"/>
    <col min="12" max="12" width="10" style="1" bestFit="1" customWidth="1"/>
    <col min="13" max="17" width="8.85546875" style="1"/>
    <col min="18" max="18" width="10.28515625" style="1" bestFit="1" customWidth="1"/>
    <col min="19" max="16384" width="8.85546875" style="1"/>
  </cols>
  <sheetData>
    <row r="1" spans="2:9" ht="13.5" customHeight="1" thickBot="1" x14ac:dyDescent="0.3">
      <c r="B1" s="4"/>
      <c r="G1" s="5"/>
    </row>
    <row r="2" spans="2:9" ht="45.75" customHeight="1" thickBot="1" x14ac:dyDescent="0.25">
      <c r="B2" s="34" t="s">
        <v>0</v>
      </c>
      <c r="C2" s="36" t="s">
        <v>1</v>
      </c>
      <c r="D2" s="36" t="s">
        <v>20</v>
      </c>
      <c r="E2" s="36" t="s">
        <v>149</v>
      </c>
      <c r="F2" s="36" t="s">
        <v>148</v>
      </c>
      <c r="G2" s="213" t="s">
        <v>129</v>
      </c>
      <c r="H2" s="213"/>
      <c r="I2" s="213"/>
    </row>
    <row r="3" spans="2:9" x14ac:dyDescent="0.25">
      <c r="B3" s="182" t="s">
        <v>23</v>
      </c>
      <c r="C3" s="39" t="s">
        <v>30</v>
      </c>
      <c r="D3" s="14" t="s">
        <v>28</v>
      </c>
      <c r="E3" s="205">
        <v>449.41176470588243</v>
      </c>
      <c r="F3" s="183">
        <f>E3/$E$18*$F$19</f>
        <v>449.41176470588238</v>
      </c>
      <c r="G3" s="48"/>
      <c r="H3" s="49"/>
      <c r="I3" s="184"/>
    </row>
    <row r="4" spans="2:9" x14ac:dyDescent="0.25">
      <c r="B4" s="182" t="s">
        <v>24</v>
      </c>
      <c r="C4" s="39" t="s">
        <v>31</v>
      </c>
      <c r="D4" s="14" t="s">
        <v>28</v>
      </c>
      <c r="E4" s="205">
        <v>449.41176470588243</v>
      </c>
      <c r="F4" s="183">
        <f t="shared" ref="F4:F15" si="0">E4/$E$18*$F$19</f>
        <v>449.41176470588238</v>
      </c>
      <c r="G4" s="48"/>
      <c r="H4" s="49"/>
      <c r="I4" s="184"/>
    </row>
    <row r="5" spans="2:9" x14ac:dyDescent="0.25">
      <c r="B5" s="182" t="s">
        <v>25</v>
      </c>
      <c r="C5" s="39" t="s">
        <v>32</v>
      </c>
      <c r="D5" s="14" t="s">
        <v>28</v>
      </c>
      <c r="E5" s="205">
        <v>449.41176470588243</v>
      </c>
      <c r="F5" s="183">
        <f t="shared" si="0"/>
        <v>449.41176470588238</v>
      </c>
      <c r="G5" s="48"/>
      <c r="H5" s="49"/>
      <c r="I5" s="184"/>
    </row>
    <row r="6" spans="2:9" x14ac:dyDescent="0.25">
      <c r="B6" s="182" t="s">
        <v>26</v>
      </c>
      <c r="C6" s="39" t="s">
        <v>33</v>
      </c>
      <c r="D6" s="14" t="s">
        <v>28</v>
      </c>
      <c r="E6" s="205">
        <v>449.41176470588243</v>
      </c>
      <c r="F6" s="183">
        <f t="shared" si="0"/>
        <v>449.41176470588238</v>
      </c>
      <c r="G6" s="48"/>
      <c r="H6" s="49"/>
      <c r="I6" s="184"/>
    </row>
    <row r="7" spans="2:9" x14ac:dyDescent="0.25">
      <c r="B7" s="182" t="s">
        <v>27</v>
      </c>
      <c r="C7" s="39" t="s">
        <v>34</v>
      </c>
      <c r="D7" s="14" t="s">
        <v>28</v>
      </c>
      <c r="E7" s="205">
        <v>89.882352941176478</v>
      </c>
      <c r="F7" s="183">
        <f t="shared" si="0"/>
        <v>89.882352941176464</v>
      </c>
      <c r="G7" s="48"/>
      <c r="H7" s="49"/>
      <c r="I7" s="184"/>
    </row>
    <row r="8" spans="2:9" x14ac:dyDescent="0.25">
      <c r="B8" s="182" t="s">
        <v>146</v>
      </c>
      <c r="C8" s="39" t="s">
        <v>145</v>
      </c>
      <c r="D8" s="14" t="s">
        <v>28</v>
      </c>
      <c r="E8" s="205">
        <v>808.9411764705884</v>
      </c>
      <c r="F8" s="183">
        <f t="shared" si="0"/>
        <v>808.94117647058829</v>
      </c>
      <c r="G8" s="48"/>
      <c r="H8" s="49"/>
      <c r="I8" s="184"/>
    </row>
    <row r="9" spans="2:9" x14ac:dyDescent="0.25">
      <c r="B9" s="182" t="s">
        <v>146</v>
      </c>
      <c r="C9" s="39" t="s">
        <v>145</v>
      </c>
      <c r="D9" s="14" t="s">
        <v>28</v>
      </c>
      <c r="E9" s="205">
        <v>449.41176470588243</v>
      </c>
      <c r="F9" s="183">
        <f t="shared" si="0"/>
        <v>449.41176470588238</v>
      </c>
      <c r="G9" s="48"/>
      <c r="H9" s="49"/>
      <c r="I9" s="184"/>
    </row>
    <row r="10" spans="2:9" x14ac:dyDescent="0.25">
      <c r="B10" s="182" t="s">
        <v>146</v>
      </c>
      <c r="C10" s="39" t="s">
        <v>145</v>
      </c>
      <c r="D10" s="14" t="s">
        <v>28</v>
      </c>
      <c r="E10" s="205">
        <v>449.41176470588243</v>
      </c>
      <c r="F10" s="183">
        <f t="shared" si="0"/>
        <v>449.41176470588238</v>
      </c>
      <c r="G10" s="48"/>
      <c r="H10" s="49"/>
      <c r="I10" s="184"/>
    </row>
    <row r="11" spans="2:9" x14ac:dyDescent="0.25">
      <c r="B11" s="182" t="s">
        <v>146</v>
      </c>
      <c r="C11" s="39" t="s">
        <v>145</v>
      </c>
      <c r="D11" s="14" t="s">
        <v>28</v>
      </c>
      <c r="E11" s="205">
        <v>449.41176470588243</v>
      </c>
      <c r="F11" s="183">
        <f t="shared" si="0"/>
        <v>449.41176470588238</v>
      </c>
      <c r="G11" s="48"/>
      <c r="H11" s="49"/>
      <c r="I11" s="184"/>
    </row>
    <row r="12" spans="2:9" x14ac:dyDescent="0.25">
      <c r="B12" s="182" t="s">
        <v>146</v>
      </c>
      <c r="C12" s="39" t="s">
        <v>145</v>
      </c>
      <c r="D12" s="14" t="s">
        <v>28</v>
      </c>
      <c r="E12" s="205">
        <v>898.82352941176487</v>
      </c>
      <c r="F12" s="183">
        <f t="shared" si="0"/>
        <v>898.82352941176475</v>
      </c>
      <c r="G12" s="48"/>
      <c r="H12" s="49"/>
      <c r="I12" s="184"/>
    </row>
    <row r="13" spans="2:9" x14ac:dyDescent="0.25">
      <c r="B13" s="182" t="s">
        <v>146</v>
      </c>
      <c r="C13" s="39" t="s">
        <v>145</v>
      </c>
      <c r="D13" s="14" t="s">
        <v>28</v>
      </c>
      <c r="E13" s="205">
        <v>898.82352941176487</v>
      </c>
      <c r="F13" s="183">
        <f t="shared" si="0"/>
        <v>898.82352941176475</v>
      </c>
      <c r="G13" s="48"/>
      <c r="H13" s="49"/>
      <c r="I13" s="184"/>
    </row>
    <row r="14" spans="2:9" x14ac:dyDescent="0.25">
      <c r="B14" s="182" t="s">
        <v>146</v>
      </c>
      <c r="C14" s="39" t="s">
        <v>145</v>
      </c>
      <c r="D14" s="14" t="s">
        <v>28</v>
      </c>
      <c r="E14" s="205">
        <v>898.82352941176487</v>
      </c>
      <c r="F14" s="183">
        <f t="shared" si="0"/>
        <v>898.82352941176475</v>
      </c>
      <c r="G14" s="48"/>
      <c r="H14" s="49"/>
      <c r="I14" s="184"/>
    </row>
    <row r="15" spans="2:9" x14ac:dyDescent="0.25">
      <c r="B15" s="182" t="s">
        <v>146</v>
      </c>
      <c r="C15" s="39" t="s">
        <v>145</v>
      </c>
      <c r="D15" s="14" t="s">
        <v>28</v>
      </c>
      <c r="E15" s="205">
        <v>898.82352941176487</v>
      </c>
      <c r="F15" s="183">
        <f t="shared" si="0"/>
        <v>898.82352941176475</v>
      </c>
      <c r="G15" s="48"/>
      <c r="H15" s="49"/>
      <c r="I15" s="184"/>
    </row>
    <row r="16" spans="2:9" x14ac:dyDescent="0.25">
      <c r="B16" s="182" t="s">
        <v>146</v>
      </c>
      <c r="C16" s="39" t="s">
        <v>145</v>
      </c>
      <c r="D16" s="14" t="s">
        <v>28</v>
      </c>
      <c r="E16" s="212" t="s">
        <v>151</v>
      </c>
      <c r="F16" s="183"/>
      <c r="G16" s="48"/>
      <c r="H16" s="49"/>
      <c r="I16" s="184"/>
    </row>
    <row r="17" spans="2:9" x14ac:dyDescent="0.25">
      <c r="B17" s="182" t="s">
        <v>147</v>
      </c>
      <c r="C17" s="39" t="s">
        <v>132</v>
      </c>
      <c r="D17" s="14" t="s">
        <v>28</v>
      </c>
      <c r="E17" s="212" t="s">
        <v>151</v>
      </c>
      <c r="F17" s="183"/>
      <c r="G17" s="48"/>
      <c r="H17" s="49"/>
      <c r="I17" s="184"/>
    </row>
    <row r="18" spans="2:9" ht="15.75" thickBot="1" x14ac:dyDescent="0.3">
      <c r="B18" s="185"/>
      <c r="C18" s="186" t="s">
        <v>127</v>
      </c>
      <c r="D18" s="187" t="s">
        <v>29</v>
      </c>
      <c r="E18" s="206">
        <f>SUM(E3:E17)</f>
        <v>7640.0000000000009</v>
      </c>
      <c r="F18" s="188">
        <f>SUM(F3:F17)</f>
        <v>7640.0000000000009</v>
      </c>
      <c r="G18" s="189"/>
      <c r="H18" s="190" t="s">
        <v>150</v>
      </c>
      <c r="I18" s="191"/>
    </row>
    <row r="19" spans="2:9" ht="21.75" hidden="1" customHeight="1" x14ac:dyDescent="0.25">
      <c r="B19" s="30"/>
      <c r="C19" s="30" t="s">
        <v>128</v>
      </c>
      <c r="D19" s="47" t="s">
        <v>29</v>
      </c>
      <c r="E19" s="181">
        <f>('Tabela 1 - Apenso 2 - Edital'!E3+'Tabela 1 - Apenso 2 - Edital'!E4)/(58*3+51*1)</f>
        <v>33.955563971405311</v>
      </c>
      <c r="F19" s="181">
        <v>7640</v>
      </c>
      <c r="G19" s="31"/>
      <c r="H19" s="32"/>
      <c r="I19" s="33"/>
    </row>
    <row r="20" spans="2:9" ht="14.25" hidden="1" customHeight="1" x14ac:dyDescent="0.25">
      <c r="B20" s="30"/>
      <c r="C20" s="192" t="s">
        <v>130</v>
      </c>
      <c r="D20" s="47"/>
      <c r="E20" s="193" t="str">
        <f>IF(ABS(E18-E19) &lt;0.01,"valores unitários consistentes com a proposta",IF(E18-E19&gt;0,"valor unitário SUPERIOR à proposta em US$ " &amp;ROUNDDOWN(E18-E19,3)&amp; " /licença/mês. Ajustar!","valor unitário INFERIOR à proposta em  US$ " &amp; ROUNDDOWN(-E18+E19,3) &amp; " /licença/mês. Ajustar!"))</f>
        <v>valor unitário SUPERIOR à proposta em US$ 7606,044 /licença/mês. Ajustar!</v>
      </c>
      <c r="F20" s="193" t="str">
        <f>IF(ABS(F18-F19) &lt;0.01,"valores unitários consistentes com a proposta",IF(F18-F19&gt;0,"valor unitário SUPERIOR à proposta em US$ " &amp;ROUNDDOWN(F18-F19,3)&amp; " /licença/mês. Ajustar!","valor unitário INFERIOR à proposta em US$ " &amp; ROUNDDOWN(-F18+F19,3) &amp; " /licença/mês. Ajustar!"))</f>
        <v>valores unitários consistentes com a proposta</v>
      </c>
      <c r="G20" s="215"/>
      <c r="H20" s="216"/>
      <c r="I20" s="217"/>
    </row>
    <row r="22" spans="2:9" ht="15" customHeight="1" x14ac:dyDescent="0.2">
      <c r="B22" s="218" t="s">
        <v>152</v>
      </c>
      <c r="C22" s="218"/>
      <c r="D22" s="218"/>
      <c r="E22" s="218"/>
      <c r="F22" s="218"/>
      <c r="G22" s="218"/>
      <c r="H22" s="218"/>
      <c r="I22" s="218"/>
    </row>
    <row r="23" spans="2:9" ht="15" customHeight="1" x14ac:dyDescent="0.2">
      <c r="B23" s="218"/>
      <c r="C23" s="218"/>
      <c r="D23" s="218"/>
      <c r="E23" s="218"/>
      <c r="F23" s="218"/>
      <c r="G23" s="218"/>
      <c r="H23" s="218"/>
      <c r="I23" s="218"/>
    </row>
  </sheetData>
  <mergeCells count="3">
    <mergeCell ref="G2:I2"/>
    <mergeCell ref="G20:I20"/>
    <mergeCell ref="B22:I23"/>
  </mergeCells>
  <pageMargins left="0.511811024" right="0.511811024" top="0.78740157499999996" bottom="0.78740157499999996" header="0.31496062000000002" footer="0.31496062000000002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J26"/>
  <sheetViews>
    <sheetView workbookViewId="0"/>
  </sheetViews>
  <sheetFormatPr defaultColWidth="8.85546875" defaultRowHeight="12.75" x14ac:dyDescent="0.2"/>
  <cols>
    <col min="1" max="1" width="8.85546875" style="1"/>
    <col min="2" max="2" width="18.140625" style="1" customWidth="1"/>
    <col min="3" max="3" width="10" style="1" bestFit="1" customWidth="1"/>
    <col min="4" max="4" width="8.140625" style="1" bestFit="1" customWidth="1"/>
    <col min="5" max="5" width="12.7109375" style="1" bestFit="1" customWidth="1"/>
    <col min="6" max="6" width="3.85546875" style="1" customWidth="1"/>
    <col min="7" max="7" width="18.140625" style="1" customWidth="1"/>
    <col min="8" max="8" width="9.85546875" style="1" bestFit="1" customWidth="1"/>
    <col min="9" max="9" width="8.85546875" style="1"/>
    <col min="10" max="10" width="11.5703125" style="1" bestFit="1" customWidth="1"/>
    <col min="11" max="16384" width="8.85546875" style="1"/>
  </cols>
  <sheetData>
    <row r="1" spans="1:10" ht="13.5" thickBot="1" x14ac:dyDescent="0.25"/>
    <row r="2" spans="1:10" ht="15.75" thickBot="1" x14ac:dyDescent="0.3">
      <c r="B2" s="242" t="s">
        <v>87</v>
      </c>
      <c r="C2" s="243"/>
      <c r="D2" s="243"/>
      <c r="E2" s="244"/>
      <c r="G2" s="245" t="s">
        <v>103</v>
      </c>
      <c r="H2" s="246"/>
      <c r="I2" s="246"/>
      <c r="J2" s="247"/>
    </row>
    <row r="3" spans="1:10" s="43" customFormat="1" ht="8.4499999999999993" customHeight="1" thickBot="1" x14ac:dyDescent="0.3">
      <c r="B3" s="144"/>
      <c r="C3" s="144"/>
      <c r="D3" s="144"/>
      <c r="E3" s="144"/>
      <c r="G3" s="144"/>
      <c r="H3" s="144"/>
      <c r="I3" s="144"/>
      <c r="J3" s="144"/>
    </row>
    <row r="4" spans="1:10" ht="13.5" thickBot="1" x14ac:dyDescent="0.25">
      <c r="A4" s="145"/>
      <c r="B4" s="146" t="s">
        <v>104</v>
      </c>
      <c r="C4" s="147" t="s">
        <v>105</v>
      </c>
      <c r="D4" s="148" t="s">
        <v>106</v>
      </c>
      <c r="E4" s="149" t="s">
        <v>107</v>
      </c>
      <c r="G4" s="150" t="s">
        <v>104</v>
      </c>
      <c r="H4" s="151" t="s">
        <v>105</v>
      </c>
      <c r="I4" s="152" t="s">
        <v>106</v>
      </c>
      <c r="J4" s="153" t="s">
        <v>107</v>
      </c>
    </row>
    <row r="5" spans="1:10" ht="13.5" thickBot="1" x14ac:dyDescent="0.25">
      <c r="A5" s="145"/>
      <c r="B5" s="154" t="s">
        <v>108</v>
      </c>
      <c r="C5" s="155">
        <f>'Português (modificado)'!F4</f>
        <v>8726.5618935661951</v>
      </c>
      <c r="D5" s="156">
        <f>'Português (modificado)'!F7</f>
        <v>4.0999999999999996</v>
      </c>
      <c r="E5" s="155">
        <f>C5*D5</f>
        <v>35778.903763621398</v>
      </c>
      <c r="G5" s="154" t="s">
        <v>108</v>
      </c>
      <c r="H5" s="155" t="e">
        <f>+'Português (modificado)'!G4-('Português (modificado)'!G4*'Português (modificado)'!B11/100)</f>
        <v>#REF!</v>
      </c>
      <c r="I5" s="156" t="e">
        <f>'Português (modificado)'!G7</f>
        <v>#REF!</v>
      </c>
      <c r="J5" s="155" t="e">
        <f>H5*I5</f>
        <v>#REF!</v>
      </c>
    </row>
    <row r="6" spans="1:10" ht="42" customHeight="1" thickBot="1" x14ac:dyDescent="0.25">
      <c r="A6" s="145"/>
      <c r="B6" s="157" t="s">
        <v>109</v>
      </c>
      <c r="C6" s="158"/>
      <c r="D6" s="158"/>
      <c r="E6" s="158">
        <v>490</v>
      </c>
      <c r="G6" s="157" t="s">
        <v>109</v>
      </c>
      <c r="H6" s="158"/>
      <c r="I6" s="158"/>
      <c r="J6" s="158">
        <v>490</v>
      </c>
    </row>
    <row r="7" spans="1:10" ht="13.5" thickBot="1" x14ac:dyDescent="0.25">
      <c r="A7" s="145"/>
      <c r="B7" s="154" t="s">
        <v>110</v>
      </c>
      <c r="C7" s="158">
        <v>70</v>
      </c>
      <c r="D7" s="156" t="e">
        <f>'Português (modificado)'!G7</f>
        <v>#REF!</v>
      </c>
      <c r="E7" s="155" t="e">
        <f>C7*D7</f>
        <v>#REF!</v>
      </c>
      <c r="G7" s="154" t="s">
        <v>110</v>
      </c>
      <c r="H7" s="158">
        <v>70</v>
      </c>
      <c r="I7" s="156" t="e">
        <f>'Português (modificado)'!G7</f>
        <v>#REF!</v>
      </c>
      <c r="J7" s="155" t="e">
        <f>H7*I7</f>
        <v>#REF!</v>
      </c>
    </row>
    <row r="8" spans="1:10" ht="13.5" thickBot="1" x14ac:dyDescent="0.25">
      <c r="A8" s="145"/>
      <c r="B8" s="159" t="s">
        <v>126</v>
      </c>
      <c r="C8" s="160">
        <f>C5+60*C7</f>
        <v>12926.561893566195</v>
      </c>
      <c r="D8" s="160"/>
      <c r="E8" s="160" t="e">
        <f>E5+(E6+E7)*60</f>
        <v>#REF!</v>
      </c>
      <c r="G8" s="161" t="s">
        <v>111</v>
      </c>
      <c r="H8" s="162" t="e">
        <f>H5+60*H7</f>
        <v>#REF!</v>
      </c>
      <c r="I8" s="162"/>
      <c r="J8" s="162" t="e">
        <f>J5+(J6+J7)*60</f>
        <v>#REF!</v>
      </c>
    </row>
    <row r="9" spans="1:10" ht="4.9000000000000004" customHeight="1" thickBot="1" x14ac:dyDescent="0.25"/>
    <row r="10" spans="1:10" ht="13.5" thickBot="1" x14ac:dyDescent="0.25">
      <c r="A10" s="145"/>
      <c r="B10" s="248" t="s">
        <v>112</v>
      </c>
      <c r="C10" s="249"/>
      <c r="D10" s="249"/>
      <c r="E10" s="250"/>
      <c r="G10" s="251" t="s">
        <v>112</v>
      </c>
      <c r="H10" s="252"/>
      <c r="I10" s="252"/>
      <c r="J10" s="253"/>
    </row>
    <row r="11" spans="1:10" ht="13.5" thickBot="1" x14ac:dyDescent="0.25">
      <c r="A11" s="145"/>
      <c r="B11" s="240" t="s">
        <v>113</v>
      </c>
      <c r="C11" s="241"/>
      <c r="D11" s="241"/>
      <c r="E11" s="163">
        <f>'Português (modificado)'!F11</f>
        <v>6313.9241935802465</v>
      </c>
      <c r="G11" s="240" t="s">
        <v>113</v>
      </c>
      <c r="H11" s="241"/>
      <c r="I11" s="241"/>
      <c r="J11" s="163" t="e">
        <f>'Português (modificado)'!G11</f>
        <v>#REF!</v>
      </c>
    </row>
    <row r="12" spans="1:10" ht="13.5" thickBot="1" x14ac:dyDescent="0.25">
      <c r="A12" s="145"/>
      <c r="B12" s="240" t="s">
        <v>114</v>
      </c>
      <c r="C12" s="241"/>
      <c r="D12" s="241"/>
      <c r="E12" s="163">
        <f>'Português (modificado)'!F16</f>
        <v>2215.4119977474552</v>
      </c>
      <c r="G12" s="240" t="s">
        <v>114</v>
      </c>
      <c r="H12" s="241"/>
      <c r="I12" s="241"/>
      <c r="J12" s="163" t="e">
        <f>'Português (modificado)'!G16</f>
        <v>#REF!</v>
      </c>
    </row>
    <row r="13" spans="1:10" ht="13.5" thickBot="1" x14ac:dyDescent="0.25">
      <c r="A13" s="145"/>
      <c r="B13" s="240" t="s">
        <v>115</v>
      </c>
      <c r="C13" s="241"/>
      <c r="D13" s="241"/>
      <c r="E13" s="163">
        <f>'Português (modificado)'!F17</f>
        <v>805.60436281725629</v>
      </c>
      <c r="G13" s="240" t="s">
        <v>115</v>
      </c>
      <c r="H13" s="241"/>
      <c r="I13" s="241"/>
      <c r="J13" s="163" t="e">
        <f>'Português (modificado)'!G17</f>
        <v>#REF!</v>
      </c>
    </row>
    <row r="14" spans="1:10" ht="13.5" thickBot="1" x14ac:dyDescent="0.25">
      <c r="A14" s="145"/>
      <c r="B14" s="231" t="s">
        <v>116</v>
      </c>
      <c r="C14" s="232"/>
      <c r="D14" s="233"/>
      <c r="E14" s="163">
        <f>'Português (modificado)'!F18</f>
        <v>3710.6625196431196</v>
      </c>
      <c r="G14" s="231" t="s">
        <v>116</v>
      </c>
      <c r="H14" s="232"/>
      <c r="I14" s="233"/>
      <c r="J14" s="163" t="e">
        <f>'Português (modificado)'!G18</f>
        <v>#REF!</v>
      </c>
    </row>
    <row r="15" spans="1:10" ht="13.5" thickBot="1" x14ac:dyDescent="0.25">
      <c r="B15" s="231" t="s">
        <v>117</v>
      </c>
      <c r="C15" s="232"/>
      <c r="D15" s="233"/>
      <c r="E15" s="163">
        <f>'Português (modificado)'!F13</f>
        <v>4430.8239954949104</v>
      </c>
      <c r="G15" s="231" t="s">
        <v>117</v>
      </c>
      <c r="H15" s="232"/>
      <c r="I15" s="233"/>
      <c r="J15" s="163" t="e">
        <f>'Português (modificado)'!G13</f>
        <v>#REF!</v>
      </c>
    </row>
    <row r="16" spans="1:10" ht="13.5" thickBot="1" x14ac:dyDescent="0.25">
      <c r="B16" s="231" t="s">
        <v>118</v>
      </c>
      <c r="C16" s="232"/>
      <c r="D16" s="233"/>
      <c r="E16" s="163">
        <f>E5*0.38%</f>
        <v>135.9598343017613</v>
      </c>
      <c r="G16" s="231" t="s">
        <v>118</v>
      </c>
      <c r="H16" s="232"/>
      <c r="I16" s="233"/>
      <c r="J16" s="163" t="e">
        <f>J5*0.38%</f>
        <v>#REF!</v>
      </c>
    </row>
    <row r="17" spans="2:10" ht="13.5" thickBot="1" x14ac:dyDescent="0.25">
      <c r="B17" s="234" t="s">
        <v>111</v>
      </c>
      <c r="C17" s="235"/>
      <c r="D17" s="236"/>
      <c r="E17" s="164">
        <f>SUM(E11:E16)</f>
        <v>17612.386903584749</v>
      </c>
      <c r="G17" s="237" t="s">
        <v>111</v>
      </c>
      <c r="H17" s="238"/>
      <c r="I17" s="239"/>
      <c r="J17" s="165" t="e">
        <f>SUM(J11:J16)</f>
        <v>#REF!</v>
      </c>
    </row>
    <row r="18" spans="2:10" ht="13.5" thickBot="1" x14ac:dyDescent="0.25">
      <c r="B18" s="219" t="s">
        <v>119</v>
      </c>
      <c r="C18" s="220" t="s">
        <v>120</v>
      </c>
      <c r="D18" s="221"/>
      <c r="E18" s="166">
        <f>IF(E17&gt;0,E17/E5,0)</f>
        <v>0.4922561915240215</v>
      </c>
      <c r="G18" s="222" t="s">
        <v>119</v>
      </c>
      <c r="H18" s="223" t="s">
        <v>120</v>
      </c>
      <c r="I18" s="224"/>
      <c r="J18" s="167" t="e">
        <f>IF(J17&gt;0,J17/J5,0)</f>
        <v>#REF!</v>
      </c>
    </row>
    <row r="19" spans="2:10" ht="5.45" customHeight="1" thickBot="1" x14ac:dyDescent="0.25"/>
    <row r="20" spans="2:10" ht="13.5" thickBot="1" x14ac:dyDescent="0.25">
      <c r="B20" s="225" t="s">
        <v>121</v>
      </c>
      <c r="C20" s="226"/>
      <c r="D20" s="226"/>
      <c r="E20" s="227"/>
      <c r="G20" s="228" t="s">
        <v>121</v>
      </c>
      <c r="H20" s="229"/>
      <c r="I20" s="229"/>
      <c r="J20" s="230"/>
    </row>
    <row r="21" spans="2:10" ht="13.5" thickBot="1" x14ac:dyDescent="0.25">
      <c r="B21" s="168" t="s">
        <v>122</v>
      </c>
      <c r="C21" s="169"/>
      <c r="D21" s="169"/>
      <c r="E21" s="170" t="e">
        <f>E8+E17</f>
        <v>#REF!</v>
      </c>
      <c r="G21" s="171" t="s">
        <v>122</v>
      </c>
      <c r="H21" s="172"/>
      <c r="I21" s="172"/>
      <c r="J21" s="173" t="e">
        <f>J8+J17</f>
        <v>#REF!</v>
      </c>
    </row>
    <row r="23" spans="2:10" x14ac:dyDescent="0.2">
      <c r="J23" s="174"/>
    </row>
    <row r="25" spans="2:10" x14ac:dyDescent="0.2">
      <c r="J25" s="2"/>
    </row>
    <row r="26" spans="2:10" x14ac:dyDescent="0.2">
      <c r="J26" s="2"/>
    </row>
  </sheetData>
  <mergeCells count="22">
    <mergeCell ref="B2:E2"/>
    <mergeCell ref="G2:J2"/>
    <mergeCell ref="B10:E10"/>
    <mergeCell ref="G10:J10"/>
    <mergeCell ref="B11:D11"/>
    <mergeCell ref="G11:I11"/>
    <mergeCell ref="B12:D12"/>
    <mergeCell ref="G12:I12"/>
    <mergeCell ref="B13:D13"/>
    <mergeCell ref="G13:I13"/>
    <mergeCell ref="B14:D14"/>
    <mergeCell ref="G14:I14"/>
    <mergeCell ref="B18:D18"/>
    <mergeCell ref="G18:I18"/>
    <mergeCell ref="B20:E20"/>
    <mergeCell ref="G20:J20"/>
    <mergeCell ref="B15:D15"/>
    <mergeCell ref="G15:I15"/>
    <mergeCell ref="B16:D16"/>
    <mergeCell ref="G16:I16"/>
    <mergeCell ref="B17:D17"/>
    <mergeCell ref="G17:I17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&amp;L&amp;F&amp;C&amp;A&amp;R&amp;D&amp;T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K36"/>
  <sheetViews>
    <sheetView workbookViewId="0"/>
  </sheetViews>
  <sheetFormatPr defaultColWidth="9.140625" defaultRowHeight="15" x14ac:dyDescent="0.25"/>
  <cols>
    <col min="1" max="1" width="28.42578125" style="126" customWidth="1"/>
    <col min="2" max="2" width="20.5703125" style="126" customWidth="1"/>
    <col min="3" max="3" width="23.5703125" style="126" bestFit="1" customWidth="1"/>
    <col min="4" max="4" width="29.85546875" style="126" customWidth="1"/>
    <col min="5" max="5" width="17" style="126" customWidth="1"/>
    <col min="6" max="6" width="25.140625" style="126" customWidth="1"/>
    <col min="7" max="7" width="28.140625" style="126" customWidth="1"/>
    <col min="8" max="8" width="0.140625" style="126" customWidth="1"/>
    <col min="9" max="9" width="10.28515625" style="126" bestFit="1" customWidth="1"/>
    <col min="10" max="10" width="24.28515625" style="126" customWidth="1"/>
    <col min="11" max="11" width="9.140625" style="126" customWidth="1"/>
    <col min="12" max="16384" width="9.140625" style="126"/>
  </cols>
  <sheetData>
    <row r="1" spans="1:11" ht="19.5" thickBot="1" x14ac:dyDescent="0.35">
      <c r="A1" s="65" t="s">
        <v>67</v>
      </c>
      <c r="B1" s="66"/>
      <c r="C1" s="66"/>
      <c r="D1" s="66"/>
      <c r="E1" s="66"/>
      <c r="F1" s="66"/>
      <c r="G1" s="66"/>
      <c r="H1" s="125"/>
      <c r="I1" s="265"/>
      <c r="J1" s="265"/>
    </row>
    <row r="2" spans="1:11" ht="19.5" hidden="1" thickBot="1" x14ac:dyDescent="0.35">
      <c r="A2" s="67" t="s">
        <v>68</v>
      </c>
      <c r="B2" s="68"/>
      <c r="C2" s="68"/>
      <c r="D2" s="68"/>
      <c r="E2" s="68"/>
      <c r="F2" s="68"/>
      <c r="G2" s="68"/>
      <c r="H2" s="127"/>
    </row>
    <row r="3" spans="1:11" s="129" customFormat="1" ht="19.5" thickBot="1" x14ac:dyDescent="0.35">
      <c r="A3" s="69" t="s">
        <v>69</v>
      </c>
      <c r="B3" s="70" t="s">
        <v>70</v>
      </c>
      <c r="C3" s="70"/>
      <c r="D3" s="71"/>
      <c r="E3" s="72" t="s">
        <v>71</v>
      </c>
      <c r="F3" s="73"/>
      <c r="G3" s="73"/>
      <c r="H3" s="128"/>
    </row>
    <row r="4" spans="1:11" s="129" customFormat="1" ht="18.75" x14ac:dyDescent="0.3">
      <c r="A4" s="74" t="s">
        <v>72</v>
      </c>
      <c r="B4" s="75"/>
      <c r="C4" s="76"/>
      <c r="D4" s="77"/>
      <c r="E4" s="78" t="s">
        <v>73</v>
      </c>
      <c r="F4" s="176">
        <f>'Tabela 1 - Apenso 2 - Edital'!F6</f>
        <v>8726.5618935661951</v>
      </c>
      <c r="G4" s="177" t="e">
        <f>#REF!</f>
        <v>#REF!</v>
      </c>
      <c r="H4" s="130"/>
    </row>
    <row r="5" spans="1:11" s="129" customFormat="1" ht="18.75" x14ac:dyDescent="0.3">
      <c r="A5" s="79" t="s">
        <v>74</v>
      </c>
      <c r="B5" s="76" t="s">
        <v>75</v>
      </c>
      <c r="C5" s="76"/>
      <c r="D5" s="77"/>
      <c r="E5" s="80" t="s">
        <v>76</v>
      </c>
      <c r="F5" s="178" t="str">
        <f>G5</f>
        <v>USD</v>
      </c>
      <c r="G5" s="179" t="s">
        <v>77</v>
      </c>
      <c r="H5" s="131"/>
    </row>
    <row r="6" spans="1:11" s="129" customFormat="1" ht="19.5" thickBot="1" x14ac:dyDescent="0.35">
      <c r="A6" s="81" t="s">
        <v>78</v>
      </c>
      <c r="B6" s="82" t="s">
        <v>79</v>
      </c>
      <c r="C6" s="82"/>
      <c r="D6" s="83"/>
      <c r="E6" s="80" t="s">
        <v>80</v>
      </c>
      <c r="F6" s="176">
        <f>'Tabela 1 - Apenso 2 - Edital'!F7</f>
        <v>4.0999999999999996</v>
      </c>
      <c r="G6" s="177" t="e">
        <f>#REF!</f>
        <v>#REF!</v>
      </c>
      <c r="H6" s="132"/>
    </row>
    <row r="7" spans="1:11" s="129" customFormat="1" ht="19.5" thickBot="1" x14ac:dyDescent="0.35">
      <c r="A7" s="84"/>
      <c r="B7" s="85"/>
      <c r="C7" s="85"/>
      <c r="D7" s="85"/>
      <c r="E7" s="86" t="s">
        <v>81</v>
      </c>
      <c r="F7" s="176">
        <f>F6</f>
        <v>4.0999999999999996</v>
      </c>
      <c r="G7" s="177" t="e">
        <f>G6</f>
        <v>#REF!</v>
      </c>
      <c r="H7" s="133"/>
    </row>
    <row r="8" spans="1:11" s="129" customFormat="1" ht="19.5" thickBot="1" x14ac:dyDescent="0.35">
      <c r="A8" s="87" t="s">
        <v>82</v>
      </c>
      <c r="B8" s="68"/>
      <c r="C8" s="68"/>
      <c r="D8" s="68"/>
      <c r="E8" s="68"/>
      <c r="F8" s="88"/>
      <c r="G8" s="68"/>
      <c r="H8" s="134"/>
    </row>
    <row r="9" spans="1:11" ht="19.5" thickBot="1" x14ac:dyDescent="0.35">
      <c r="A9" s="89" t="s">
        <v>83</v>
      </c>
      <c r="B9" s="90" t="s">
        <v>84</v>
      </c>
      <c r="C9" s="266" t="s">
        <v>85</v>
      </c>
      <c r="D9" s="267"/>
      <c r="E9" s="91" t="s">
        <v>86</v>
      </c>
      <c r="F9" s="92" t="s">
        <v>87</v>
      </c>
      <c r="G9" s="92" t="s">
        <v>88</v>
      </c>
      <c r="H9" s="135"/>
      <c r="J9" s="129"/>
      <c r="K9" s="129"/>
    </row>
    <row r="10" spans="1:11" x14ac:dyDescent="0.25">
      <c r="A10" s="93" t="s">
        <v>89</v>
      </c>
      <c r="B10" s="94"/>
      <c r="C10" s="94"/>
      <c r="D10" s="94"/>
      <c r="E10" s="95">
        <f>IF(F6="","",(IF(F6&gt;F7,F6,F7)))</f>
        <v>4.0999999999999996</v>
      </c>
      <c r="F10" s="96">
        <f>F4*E10</f>
        <v>35778.903763621398</v>
      </c>
      <c r="G10" s="97" t="e">
        <f>G4*E10</f>
        <v>#REF!</v>
      </c>
      <c r="H10" s="136"/>
      <c r="J10" s="129"/>
      <c r="K10" s="129"/>
    </row>
    <row r="11" spans="1:11" x14ac:dyDescent="0.25">
      <c r="A11" s="98" t="s">
        <v>90</v>
      </c>
      <c r="B11" s="99">
        <v>15</v>
      </c>
      <c r="C11" s="268" t="s">
        <v>91</v>
      </c>
      <c r="D11" s="268"/>
      <c r="E11" s="100"/>
      <c r="F11" s="101">
        <f>(F10/((1-(B11/100)))*(B11/100))</f>
        <v>6313.9241935802465</v>
      </c>
      <c r="G11" s="102" t="e">
        <f>G10*(B11/100)</f>
        <v>#REF!</v>
      </c>
      <c r="H11" s="136"/>
      <c r="J11" s="129"/>
      <c r="K11" s="129"/>
    </row>
    <row r="12" spans="1:11" x14ac:dyDescent="0.25">
      <c r="A12" s="103" t="s">
        <v>92</v>
      </c>
      <c r="B12" s="104"/>
      <c r="C12" s="105"/>
      <c r="D12" s="106"/>
      <c r="E12" s="100"/>
      <c r="F12" s="101">
        <f>F10</f>
        <v>35778.903763621398</v>
      </c>
      <c r="G12" s="102" t="e">
        <f>G10-G11</f>
        <v>#REF!</v>
      </c>
      <c r="H12" s="136"/>
      <c r="J12" s="129"/>
      <c r="K12" s="129"/>
    </row>
    <row r="13" spans="1:11" x14ac:dyDescent="0.25">
      <c r="A13" s="98" t="s">
        <v>93</v>
      </c>
      <c r="B13" s="99">
        <v>10</v>
      </c>
      <c r="C13" s="269" t="s">
        <v>94</v>
      </c>
      <c r="D13" s="269"/>
      <c r="E13" s="100"/>
      <c r="F13" s="101">
        <f>F14*B13%</f>
        <v>4430.8239954949104</v>
      </c>
      <c r="G13" s="107" t="e">
        <f>G14*B13%</f>
        <v>#REF!</v>
      </c>
      <c r="H13" s="136"/>
      <c r="I13" s="137"/>
      <c r="J13" s="129"/>
      <c r="K13" s="129"/>
    </row>
    <row r="14" spans="1:11" x14ac:dyDescent="0.25">
      <c r="A14" s="98" t="s">
        <v>95</v>
      </c>
      <c r="B14" s="108"/>
      <c r="C14" s="109"/>
      <c r="D14" s="110"/>
      <c r="E14" s="111">
        <f>+IF(F7="","",F7)</f>
        <v>4.0999999999999996</v>
      </c>
      <c r="F14" s="112">
        <f>(($F$4*$E$14)+F11)/(1-($B$16/100))</f>
        <v>44308.239954949102</v>
      </c>
      <c r="G14" s="113" t="e">
        <f>(($G$4*$E$14))/(1-($B$16/100))</f>
        <v>#REF!</v>
      </c>
      <c r="H14" s="136"/>
      <c r="I14" s="138"/>
      <c r="J14" s="129"/>
      <c r="K14" s="129"/>
    </row>
    <row r="15" spans="1:11" x14ac:dyDescent="0.25">
      <c r="A15" s="98" t="s">
        <v>96</v>
      </c>
      <c r="B15" s="108"/>
      <c r="C15" s="109"/>
      <c r="D15" s="110"/>
      <c r="E15" s="100"/>
      <c r="F15" s="112">
        <f>((1+(B16/100)/(1-(B16/100)))/(1-(B17/100)-(B18/100)))*(F10+F11)</f>
        <v>48824.50683740947</v>
      </c>
      <c r="G15" s="114" t="e">
        <f>((1+(B16/100)/(1-(B16/100)))/(1-(B17/100)-(B18/100)))*G10</f>
        <v>#REF!</v>
      </c>
      <c r="H15" s="136"/>
      <c r="I15" s="137"/>
      <c r="J15" s="129"/>
      <c r="K15" s="129"/>
    </row>
    <row r="16" spans="1:11" x14ac:dyDescent="0.25">
      <c r="A16" s="98" t="s">
        <v>97</v>
      </c>
      <c r="B16" s="99">
        <v>5</v>
      </c>
      <c r="C16" s="270" t="s">
        <v>94</v>
      </c>
      <c r="D16" s="270"/>
      <c r="E16" s="100"/>
      <c r="F16" s="101">
        <f>F14*B16%</f>
        <v>2215.4119977474552</v>
      </c>
      <c r="G16" s="107" t="e">
        <f>G14*B16%</f>
        <v>#REF!</v>
      </c>
      <c r="H16" s="136"/>
      <c r="J16" s="129"/>
      <c r="K16" s="129"/>
    </row>
    <row r="17" spans="1:11" x14ac:dyDescent="0.25">
      <c r="A17" s="98" t="s">
        <v>98</v>
      </c>
      <c r="B17" s="99">
        <v>1.65</v>
      </c>
      <c r="C17" s="270" t="s">
        <v>99</v>
      </c>
      <c r="D17" s="270"/>
      <c r="E17" s="100"/>
      <c r="F17" s="101">
        <f>F15*B17%</f>
        <v>805.60436281725629</v>
      </c>
      <c r="G17" s="107" t="e">
        <f>G15*B17%</f>
        <v>#REF!</v>
      </c>
      <c r="H17" s="136"/>
      <c r="J17" s="129"/>
      <c r="K17" s="129"/>
    </row>
    <row r="18" spans="1:11" ht="15.75" thickBot="1" x14ac:dyDescent="0.3">
      <c r="A18" s="115" t="s">
        <v>100</v>
      </c>
      <c r="B18" s="116">
        <v>7.6</v>
      </c>
      <c r="C18" s="254" t="s">
        <v>101</v>
      </c>
      <c r="D18" s="254"/>
      <c r="E18" s="117"/>
      <c r="F18" s="118">
        <f>F15*B18%</f>
        <v>3710.6625196431196</v>
      </c>
      <c r="G18" s="119" t="e">
        <f>G15*B18%</f>
        <v>#REF!</v>
      </c>
      <c r="H18" s="136"/>
      <c r="J18" s="129"/>
      <c r="K18" s="129"/>
    </row>
    <row r="19" spans="1:11" ht="15.75" thickBot="1" x14ac:dyDescent="0.3">
      <c r="A19" s="120" t="s">
        <v>102</v>
      </c>
      <c r="B19" s="121"/>
      <c r="C19" s="121"/>
      <c r="D19" s="121"/>
      <c r="E19" s="122"/>
      <c r="F19" s="123">
        <f>(IF(F4="","",((F11+F13+F16+F17+F18)/F10)))</f>
        <v>0.48845619152402153</v>
      </c>
      <c r="G19" s="124" t="e">
        <f>(IF(G4="","",((G13+G16+G17+G18)/G10)))</f>
        <v>#REF!</v>
      </c>
      <c r="H19" s="139"/>
      <c r="J19" s="129"/>
      <c r="K19" s="129"/>
    </row>
    <row r="20" spans="1:11" ht="15.75" thickBot="1" x14ac:dyDescent="0.3">
      <c r="J20" s="129"/>
      <c r="K20" s="129"/>
    </row>
    <row r="21" spans="1:11" s="140" customFormat="1" ht="15" customHeight="1" x14ac:dyDescent="0.25">
      <c r="A21" s="62" t="s">
        <v>65</v>
      </c>
      <c r="B21" s="63"/>
      <c r="C21" s="63"/>
      <c r="D21" s="63"/>
      <c r="E21" s="64"/>
      <c r="F21" s="126"/>
      <c r="G21" s="126"/>
      <c r="K21" s="129"/>
    </row>
    <row r="22" spans="1:11" s="140" customFormat="1" x14ac:dyDescent="0.25">
      <c r="A22" s="255" t="s">
        <v>66</v>
      </c>
      <c r="B22" s="256"/>
      <c r="C22" s="256"/>
      <c r="D22" s="256"/>
      <c r="E22" s="257"/>
      <c r="F22" s="126"/>
      <c r="G22" s="126"/>
      <c r="K22" s="129"/>
    </row>
    <row r="23" spans="1:11" ht="15.75" thickBot="1" x14ac:dyDescent="0.3">
      <c r="A23" s="258"/>
      <c r="B23" s="259"/>
      <c r="C23" s="259"/>
      <c r="D23" s="259"/>
      <c r="E23" s="260"/>
      <c r="K23" s="129"/>
    </row>
    <row r="24" spans="1:11" ht="75" x14ac:dyDescent="0.25">
      <c r="A24" s="51" t="s">
        <v>38</v>
      </c>
      <c r="B24" s="51"/>
      <c r="C24" s="51" t="s">
        <v>39</v>
      </c>
      <c r="D24" s="52" t="s">
        <v>40</v>
      </c>
    </row>
    <row r="25" spans="1:11" ht="60" x14ac:dyDescent="0.25">
      <c r="A25" s="53" t="s">
        <v>41</v>
      </c>
      <c r="B25" s="53"/>
      <c r="C25" s="54" t="s">
        <v>42</v>
      </c>
      <c r="D25" s="55" t="s">
        <v>43</v>
      </c>
    </row>
    <row r="26" spans="1:11" ht="30" x14ac:dyDescent="0.25">
      <c r="A26" s="53" t="s">
        <v>44</v>
      </c>
      <c r="B26" s="53"/>
      <c r="C26" s="54" t="s">
        <v>45</v>
      </c>
      <c r="D26" s="56" t="s">
        <v>46</v>
      </c>
    </row>
    <row r="27" spans="1:11" ht="30" x14ac:dyDescent="0.25">
      <c r="A27" s="53" t="s">
        <v>47</v>
      </c>
      <c r="B27" s="53"/>
      <c r="C27" s="54" t="s">
        <v>48</v>
      </c>
      <c r="D27" s="55" t="s">
        <v>49</v>
      </c>
    </row>
    <row r="28" spans="1:11" ht="33" customHeight="1" x14ac:dyDescent="0.25">
      <c r="A28" s="261" t="s">
        <v>50</v>
      </c>
      <c r="B28" s="57" t="s">
        <v>51</v>
      </c>
      <c r="C28" s="54" t="s">
        <v>52</v>
      </c>
      <c r="D28" s="263" t="s">
        <v>53</v>
      </c>
      <c r="E28" s="112">
        <f>F10+F11+F16+F17+F18</f>
        <v>48824.506837409477</v>
      </c>
      <c r="F28" s="142">
        <f>E28/(F10+F11)</f>
        <v>1.1599246049006815</v>
      </c>
    </row>
    <row r="29" spans="1:11" ht="31.5" customHeight="1" x14ac:dyDescent="0.25">
      <c r="A29" s="262"/>
      <c r="B29" s="58" t="s">
        <v>54</v>
      </c>
      <c r="C29" s="54" t="s">
        <v>55</v>
      </c>
      <c r="D29" s="264"/>
      <c r="E29" s="114" t="e">
        <f>G10+G16+G17+G18</f>
        <v>#REF!</v>
      </c>
      <c r="F29" s="142" t="e">
        <f>E29/G10</f>
        <v>#REF!</v>
      </c>
    </row>
    <row r="30" spans="1:11" x14ac:dyDescent="0.25">
      <c r="A30" s="53" t="s">
        <v>56</v>
      </c>
      <c r="B30" s="53"/>
      <c r="C30" s="54" t="s">
        <v>57</v>
      </c>
      <c r="D30" s="55" t="s">
        <v>58</v>
      </c>
    </row>
    <row r="31" spans="1:11" x14ac:dyDescent="0.25">
      <c r="A31" s="53" t="s">
        <v>59</v>
      </c>
      <c r="B31" s="53"/>
      <c r="C31" s="54" t="s">
        <v>60</v>
      </c>
      <c r="D31" s="55" t="s">
        <v>61</v>
      </c>
    </row>
    <row r="32" spans="1:11" ht="15.75" thickBot="1" x14ac:dyDescent="0.3">
      <c r="A32" s="59" t="s">
        <v>62</v>
      </c>
      <c r="B32" s="59"/>
      <c r="C32" s="60" t="s">
        <v>63</v>
      </c>
      <c r="D32" s="61" t="s">
        <v>64</v>
      </c>
    </row>
    <row r="35" spans="1:3" x14ac:dyDescent="0.25">
      <c r="A35" s="141"/>
      <c r="B35" s="141"/>
      <c r="C35" s="141"/>
    </row>
    <row r="36" spans="1:3" x14ac:dyDescent="0.25">
      <c r="A36" s="141"/>
      <c r="B36" s="141"/>
      <c r="C36" s="141"/>
    </row>
  </sheetData>
  <mergeCells count="10">
    <mergeCell ref="C18:D18"/>
    <mergeCell ref="A22:E23"/>
    <mergeCell ref="A28:A29"/>
    <mergeCell ref="D28:D29"/>
    <mergeCell ref="I1:J1"/>
    <mergeCell ref="C9:D9"/>
    <mergeCell ref="C11:D11"/>
    <mergeCell ref="C13:D13"/>
    <mergeCell ref="C16:D16"/>
    <mergeCell ref="C17:D17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J26"/>
  <sheetViews>
    <sheetView workbookViewId="0"/>
  </sheetViews>
  <sheetFormatPr defaultColWidth="8.85546875" defaultRowHeight="12.75" x14ac:dyDescent="0.2"/>
  <cols>
    <col min="1" max="1" width="8.85546875" style="1"/>
    <col min="2" max="2" width="18.140625" style="1" customWidth="1"/>
    <col min="3" max="3" width="12.140625" style="1" customWidth="1"/>
    <col min="4" max="4" width="8.85546875" style="1" bestFit="1" customWidth="1"/>
    <col min="5" max="5" width="12.7109375" style="1" bestFit="1" customWidth="1"/>
    <col min="6" max="6" width="3.85546875" style="1" customWidth="1"/>
    <col min="7" max="7" width="18.140625" style="1" customWidth="1"/>
    <col min="8" max="8" width="9.85546875" style="1" bestFit="1" customWidth="1"/>
    <col min="9" max="9" width="8.85546875" style="1"/>
    <col min="10" max="10" width="11.5703125" style="1" bestFit="1" customWidth="1"/>
    <col min="11" max="16384" width="8.85546875" style="1"/>
  </cols>
  <sheetData>
    <row r="1" spans="1:10" ht="13.5" thickBot="1" x14ac:dyDescent="0.25"/>
    <row r="2" spans="1:10" ht="15.75" thickBot="1" x14ac:dyDescent="0.3">
      <c r="B2" s="242" t="s">
        <v>87</v>
      </c>
      <c r="C2" s="243"/>
      <c r="D2" s="243"/>
      <c r="E2" s="244"/>
      <c r="G2" s="245" t="s">
        <v>103</v>
      </c>
      <c r="H2" s="246"/>
      <c r="I2" s="246"/>
      <c r="J2" s="247"/>
    </row>
    <row r="3" spans="1:10" s="43" customFormat="1" ht="8.4499999999999993" customHeight="1" thickBot="1" x14ac:dyDescent="0.3">
      <c r="B3" s="144"/>
      <c r="C3" s="144"/>
      <c r="D3" s="144"/>
      <c r="E3" s="144"/>
      <c r="G3" s="144"/>
      <c r="H3" s="144"/>
      <c r="I3" s="144"/>
      <c r="J3" s="144"/>
    </row>
    <row r="4" spans="1:10" ht="13.5" thickBot="1" x14ac:dyDescent="0.25">
      <c r="A4" s="145"/>
      <c r="B4" s="146" t="s">
        <v>104</v>
      </c>
      <c r="C4" s="147" t="s">
        <v>105</v>
      </c>
      <c r="D4" s="148" t="s">
        <v>106</v>
      </c>
      <c r="E4" s="149" t="s">
        <v>107</v>
      </c>
      <c r="G4" s="150" t="s">
        <v>104</v>
      </c>
      <c r="H4" s="151" t="s">
        <v>105</v>
      </c>
      <c r="I4" s="152" t="s">
        <v>106</v>
      </c>
      <c r="J4" s="153" t="s">
        <v>107</v>
      </c>
    </row>
    <row r="5" spans="1:10" ht="13.5" thickBot="1" x14ac:dyDescent="0.25">
      <c r="A5" s="145"/>
      <c r="B5" s="154" t="s">
        <v>108</v>
      </c>
      <c r="C5" s="155">
        <f>Português!F4</f>
        <v>8726.5618935661951</v>
      </c>
      <c r="D5" s="156" t="e">
        <f>Português!G7</f>
        <v>#REF!</v>
      </c>
      <c r="E5" s="155" t="e">
        <f>C5*D5</f>
        <v>#REF!</v>
      </c>
      <c r="G5" s="154" t="s">
        <v>108</v>
      </c>
      <c r="H5" s="155" t="e">
        <f>+Português!G4-Português!G4*Português!B11%</f>
        <v>#REF!</v>
      </c>
      <c r="I5" s="156" t="e">
        <f>Português!G7</f>
        <v>#REF!</v>
      </c>
      <c r="J5" s="155" t="e">
        <f>H5*I5</f>
        <v>#REF!</v>
      </c>
    </row>
    <row r="6" spans="1:10" ht="42" customHeight="1" thickBot="1" x14ac:dyDescent="0.25">
      <c r="A6" s="145"/>
      <c r="B6" s="157" t="s">
        <v>131</v>
      </c>
      <c r="C6" s="158"/>
      <c r="D6" s="158">
        <v>0</v>
      </c>
      <c r="E6" s="158">
        <f>490*60</f>
        <v>29400</v>
      </c>
      <c r="G6" s="157" t="s">
        <v>109</v>
      </c>
      <c r="H6" s="158"/>
      <c r="I6" s="158">
        <f>N10</f>
        <v>0</v>
      </c>
      <c r="J6" s="158">
        <f>490*60</f>
        <v>29400</v>
      </c>
    </row>
    <row r="7" spans="1:10" ht="13.5" thickBot="1" x14ac:dyDescent="0.25">
      <c r="A7" s="145"/>
      <c r="B7" s="154" t="s">
        <v>110</v>
      </c>
      <c r="C7" s="158">
        <f>70*60</f>
        <v>4200</v>
      </c>
      <c r="D7" s="156" t="e">
        <f>Português!G7</f>
        <v>#REF!</v>
      </c>
      <c r="E7" s="155" t="e">
        <f>C7*D7</f>
        <v>#REF!</v>
      </c>
      <c r="G7" s="154" t="s">
        <v>110</v>
      </c>
      <c r="H7" s="158">
        <f>70*60</f>
        <v>4200</v>
      </c>
      <c r="I7" s="156" t="e">
        <f>Português!G7</f>
        <v>#REF!</v>
      </c>
      <c r="J7" s="155" t="e">
        <f>H7*I7</f>
        <v>#REF!</v>
      </c>
    </row>
    <row r="8" spans="1:10" ht="13.5" thickBot="1" x14ac:dyDescent="0.25">
      <c r="A8" s="145"/>
      <c r="B8" s="159" t="s">
        <v>126</v>
      </c>
      <c r="C8" s="160">
        <f>C5+60*C7</f>
        <v>260726.56189356619</v>
      </c>
      <c r="D8" s="160"/>
      <c r="E8" s="160" t="e">
        <f>E5+E6+E7</f>
        <v>#REF!</v>
      </c>
      <c r="G8" s="161" t="s">
        <v>111</v>
      </c>
      <c r="H8" s="162" t="e">
        <f>H5+60*H7</f>
        <v>#REF!</v>
      </c>
      <c r="I8" s="162"/>
      <c r="J8" s="162" t="e">
        <f>J5+J6+J7</f>
        <v>#REF!</v>
      </c>
    </row>
    <row r="9" spans="1:10" ht="4.9000000000000004" customHeight="1" thickBot="1" x14ac:dyDescent="0.25"/>
    <row r="10" spans="1:10" ht="13.5" thickBot="1" x14ac:dyDescent="0.25">
      <c r="A10" s="145"/>
      <c r="B10" s="248" t="s">
        <v>112</v>
      </c>
      <c r="C10" s="249"/>
      <c r="D10" s="249"/>
      <c r="E10" s="250"/>
      <c r="G10" s="251" t="s">
        <v>112</v>
      </c>
      <c r="H10" s="252"/>
      <c r="I10" s="252"/>
      <c r="J10" s="253"/>
    </row>
    <row r="11" spans="1:10" ht="13.5" thickBot="1" x14ac:dyDescent="0.25">
      <c r="A11" s="145"/>
      <c r="B11" s="240" t="s">
        <v>113</v>
      </c>
      <c r="C11" s="241"/>
      <c r="D11" s="241"/>
      <c r="E11" s="163">
        <f>Português!F11</f>
        <v>6313.9241935802465</v>
      </c>
      <c r="G11" s="240" t="s">
        <v>113</v>
      </c>
      <c r="H11" s="241"/>
      <c r="I11" s="241"/>
      <c r="J11" s="163" t="e">
        <f>Português!G11</f>
        <v>#REF!</v>
      </c>
    </row>
    <row r="12" spans="1:10" ht="13.5" thickBot="1" x14ac:dyDescent="0.25">
      <c r="A12" s="145"/>
      <c r="B12" s="240" t="s">
        <v>114</v>
      </c>
      <c r="C12" s="241"/>
      <c r="D12" s="241"/>
      <c r="E12" s="163">
        <f>Português!F16</f>
        <v>2215.4119977474552</v>
      </c>
      <c r="G12" s="240" t="s">
        <v>114</v>
      </c>
      <c r="H12" s="241"/>
      <c r="I12" s="241"/>
      <c r="J12" s="163" t="e">
        <f>Português!G16</f>
        <v>#REF!</v>
      </c>
    </row>
    <row r="13" spans="1:10" ht="13.5" thickBot="1" x14ac:dyDescent="0.25">
      <c r="A13" s="145"/>
      <c r="B13" s="240" t="s">
        <v>115</v>
      </c>
      <c r="C13" s="241"/>
      <c r="D13" s="241"/>
      <c r="E13" s="163">
        <f>Português!F17</f>
        <v>803.59035191021326</v>
      </c>
      <c r="G13" s="240" t="s">
        <v>115</v>
      </c>
      <c r="H13" s="241"/>
      <c r="I13" s="241"/>
      <c r="J13" s="163" t="e">
        <f>Português!G17</f>
        <v>#REF!</v>
      </c>
    </row>
    <row r="14" spans="1:10" ht="13.5" thickBot="1" x14ac:dyDescent="0.25">
      <c r="A14" s="145"/>
      <c r="B14" s="231" t="s">
        <v>116</v>
      </c>
      <c r="C14" s="232"/>
      <c r="D14" s="233"/>
      <c r="E14" s="163">
        <f>Português!F18</f>
        <v>3701.3858633440123</v>
      </c>
      <c r="G14" s="231" t="s">
        <v>116</v>
      </c>
      <c r="H14" s="232"/>
      <c r="I14" s="233"/>
      <c r="J14" s="163" t="e">
        <f>Português!G18</f>
        <v>#REF!</v>
      </c>
    </row>
    <row r="15" spans="1:10" ht="13.5" thickBot="1" x14ac:dyDescent="0.25">
      <c r="B15" s="231" t="s">
        <v>117</v>
      </c>
      <c r="C15" s="232"/>
      <c r="D15" s="233"/>
      <c r="E15" s="163">
        <f>Português!F13</f>
        <v>4430.8239954949104</v>
      </c>
      <c r="G15" s="231" t="s">
        <v>117</v>
      </c>
      <c r="H15" s="232"/>
      <c r="I15" s="233"/>
      <c r="J15" s="163" t="e">
        <f>Português!G13</f>
        <v>#REF!</v>
      </c>
    </row>
    <row r="16" spans="1:10" ht="13.5" thickBot="1" x14ac:dyDescent="0.25">
      <c r="B16" s="231" t="s">
        <v>118</v>
      </c>
      <c r="C16" s="232"/>
      <c r="D16" s="233"/>
      <c r="E16" s="163" t="e">
        <f>E5*0.38%</f>
        <v>#REF!</v>
      </c>
      <c r="G16" s="231" t="s">
        <v>118</v>
      </c>
      <c r="H16" s="232"/>
      <c r="I16" s="233"/>
      <c r="J16" s="163" t="e">
        <f>J5*0.38%</f>
        <v>#REF!</v>
      </c>
    </row>
    <row r="17" spans="2:10" ht="13.5" thickBot="1" x14ac:dyDescent="0.25">
      <c r="B17" s="234" t="s">
        <v>111</v>
      </c>
      <c r="C17" s="235"/>
      <c r="D17" s="236"/>
      <c r="E17" s="164" t="e">
        <f>SUM(E11:E16)</f>
        <v>#REF!</v>
      </c>
      <c r="G17" s="237" t="s">
        <v>111</v>
      </c>
      <c r="H17" s="238"/>
      <c r="I17" s="239"/>
      <c r="J17" s="165" t="e">
        <f>SUM(J11:J16)</f>
        <v>#REF!</v>
      </c>
    </row>
    <row r="18" spans="2:10" ht="13.5" thickBot="1" x14ac:dyDescent="0.25">
      <c r="B18" s="219" t="s">
        <v>119</v>
      </c>
      <c r="C18" s="220" t="s">
        <v>120</v>
      </c>
      <c r="D18" s="221"/>
      <c r="E18" s="166" t="e">
        <f>IF(E17&gt;0,E17/E5,0)</f>
        <v>#REF!</v>
      </c>
      <c r="G18" s="222" t="s">
        <v>119</v>
      </c>
      <c r="H18" s="223" t="s">
        <v>120</v>
      </c>
      <c r="I18" s="224"/>
      <c r="J18" s="167" t="e">
        <f>IF(J17&gt;0,J17/J5,0)</f>
        <v>#REF!</v>
      </c>
    </row>
    <row r="19" spans="2:10" ht="5.45" customHeight="1" thickBot="1" x14ac:dyDescent="0.25"/>
    <row r="20" spans="2:10" ht="13.5" thickBot="1" x14ac:dyDescent="0.25">
      <c r="B20" s="225" t="s">
        <v>121</v>
      </c>
      <c r="C20" s="226"/>
      <c r="D20" s="226"/>
      <c r="E20" s="227"/>
      <c r="G20" s="228" t="s">
        <v>121</v>
      </c>
      <c r="H20" s="229"/>
      <c r="I20" s="229"/>
      <c r="J20" s="230"/>
    </row>
    <row r="21" spans="2:10" ht="13.5" thickBot="1" x14ac:dyDescent="0.25">
      <c r="B21" s="168" t="s">
        <v>122</v>
      </c>
      <c r="C21" s="169"/>
      <c r="D21" s="169"/>
      <c r="E21" s="170" t="e">
        <f>E8+E17</f>
        <v>#REF!</v>
      </c>
      <c r="G21" s="171" t="s">
        <v>122</v>
      </c>
      <c r="H21" s="172"/>
      <c r="I21" s="172"/>
      <c r="J21" s="173" t="e">
        <f>J8+J17</f>
        <v>#REF!</v>
      </c>
    </row>
    <row r="23" spans="2:10" x14ac:dyDescent="0.2">
      <c r="J23" s="174"/>
    </row>
    <row r="25" spans="2:10" x14ac:dyDescent="0.2">
      <c r="J25" s="2"/>
    </row>
    <row r="26" spans="2:10" x14ac:dyDescent="0.2">
      <c r="J26" s="2"/>
    </row>
  </sheetData>
  <mergeCells count="22">
    <mergeCell ref="B2:E2"/>
    <mergeCell ref="G2:J2"/>
    <mergeCell ref="B10:E10"/>
    <mergeCell ref="G10:J10"/>
    <mergeCell ref="B11:D11"/>
    <mergeCell ref="G11:I11"/>
    <mergeCell ref="B12:D12"/>
    <mergeCell ref="G12:I12"/>
    <mergeCell ref="B13:D13"/>
    <mergeCell ref="G13:I13"/>
    <mergeCell ref="B14:D14"/>
    <mergeCell ref="G14:I14"/>
    <mergeCell ref="B18:D18"/>
    <mergeCell ref="G18:I18"/>
    <mergeCell ref="B20:E20"/>
    <mergeCell ref="G20:J20"/>
    <mergeCell ref="B15:D15"/>
    <mergeCell ref="G15:I15"/>
    <mergeCell ref="B16:D16"/>
    <mergeCell ref="G16:I16"/>
    <mergeCell ref="B17:D17"/>
    <mergeCell ref="G17:I17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&amp;L&amp;F&amp;C&amp;A&amp;R&amp;D&amp;T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/>
  <dimension ref="A1:K36"/>
  <sheetViews>
    <sheetView topLeftCell="A4" workbookViewId="0"/>
  </sheetViews>
  <sheetFormatPr defaultColWidth="9.140625" defaultRowHeight="15" x14ac:dyDescent="0.25"/>
  <cols>
    <col min="1" max="1" width="28.42578125" style="126" customWidth="1"/>
    <col min="2" max="2" width="20.5703125" style="126" customWidth="1"/>
    <col min="3" max="3" width="23.5703125" style="126" bestFit="1" customWidth="1"/>
    <col min="4" max="4" width="29.85546875" style="126" customWidth="1"/>
    <col min="5" max="5" width="17" style="126" customWidth="1"/>
    <col min="6" max="6" width="25.140625" style="126" customWidth="1"/>
    <col min="7" max="7" width="22.28515625" style="126" bestFit="1" customWidth="1"/>
    <col min="8" max="9" width="11.42578125" style="126" customWidth="1"/>
    <col min="10" max="10" width="24.28515625" style="126" customWidth="1"/>
    <col min="11" max="11" width="9.140625" style="126" customWidth="1"/>
    <col min="12" max="16384" width="9.140625" style="126"/>
  </cols>
  <sheetData>
    <row r="1" spans="1:11" ht="19.5" thickBot="1" x14ac:dyDescent="0.35">
      <c r="A1" s="65" t="s">
        <v>67</v>
      </c>
      <c r="B1" s="66"/>
      <c r="C1" s="66"/>
      <c r="D1" s="66"/>
      <c r="E1" s="66"/>
      <c r="F1" s="66"/>
      <c r="G1" s="66"/>
      <c r="H1" s="125"/>
      <c r="I1" s="265"/>
      <c r="J1" s="265"/>
    </row>
    <row r="2" spans="1:11" ht="19.5" hidden="1" thickBot="1" x14ac:dyDescent="0.35">
      <c r="A2" s="67" t="s">
        <v>68</v>
      </c>
      <c r="B2" s="68"/>
      <c r="C2" s="68"/>
      <c r="D2" s="68"/>
      <c r="E2" s="68"/>
      <c r="F2" s="68"/>
      <c r="G2" s="68"/>
      <c r="H2" s="127"/>
    </row>
    <row r="3" spans="1:11" s="129" customFormat="1" ht="19.5" thickBot="1" x14ac:dyDescent="0.35">
      <c r="A3" s="69" t="s">
        <v>69</v>
      </c>
      <c r="B3" s="70" t="s">
        <v>70</v>
      </c>
      <c r="C3" s="70"/>
      <c r="D3" s="71"/>
      <c r="E3" s="72" t="s">
        <v>71</v>
      </c>
      <c r="F3" s="73"/>
      <c r="G3" s="73"/>
      <c r="H3" s="128"/>
    </row>
    <row r="4" spans="1:11" s="129" customFormat="1" ht="18.75" x14ac:dyDescent="0.3">
      <c r="A4" s="74" t="s">
        <v>72</v>
      </c>
      <c r="B4" s="75"/>
      <c r="C4" s="76"/>
      <c r="D4" s="77"/>
      <c r="E4" s="78" t="s">
        <v>73</v>
      </c>
      <c r="F4" s="176">
        <f>'Tabela 1 - Apenso 2 - Edital'!F6</f>
        <v>8726.5618935661951</v>
      </c>
      <c r="G4" s="177" t="e">
        <f>#REF!</f>
        <v>#REF!</v>
      </c>
      <c r="H4" s="130"/>
    </row>
    <row r="5" spans="1:11" s="129" customFormat="1" ht="18.75" x14ac:dyDescent="0.3">
      <c r="A5" s="79" t="s">
        <v>74</v>
      </c>
      <c r="B5" s="76" t="s">
        <v>75</v>
      </c>
      <c r="C5" s="76"/>
      <c r="D5" s="77"/>
      <c r="E5" s="80" t="s">
        <v>76</v>
      </c>
      <c r="F5" s="178" t="str">
        <f>G5</f>
        <v>USD</v>
      </c>
      <c r="G5" s="179" t="s">
        <v>77</v>
      </c>
      <c r="H5" s="131"/>
    </row>
    <row r="6" spans="1:11" s="129" customFormat="1" ht="19.5" thickBot="1" x14ac:dyDescent="0.35">
      <c r="A6" s="81" t="s">
        <v>78</v>
      </c>
      <c r="B6" s="82" t="s">
        <v>79</v>
      </c>
      <c r="C6" s="82"/>
      <c r="D6" s="83"/>
      <c r="E6" s="80" t="s">
        <v>80</v>
      </c>
      <c r="F6" s="176">
        <f>'Tabela 1 - Apenso 2 - Edital'!F7</f>
        <v>4.0999999999999996</v>
      </c>
      <c r="G6" s="177" t="e">
        <f>#REF!</f>
        <v>#REF!</v>
      </c>
      <c r="H6" s="132"/>
    </row>
    <row r="7" spans="1:11" s="129" customFormat="1" ht="19.5" thickBot="1" x14ac:dyDescent="0.35">
      <c r="A7" s="84"/>
      <c r="B7" s="85"/>
      <c r="C7" s="85"/>
      <c r="D7" s="85"/>
      <c r="E7" s="86" t="s">
        <v>81</v>
      </c>
      <c r="F7" s="176">
        <f>F6</f>
        <v>4.0999999999999996</v>
      </c>
      <c r="G7" s="177" t="e">
        <f>G6</f>
        <v>#REF!</v>
      </c>
      <c r="H7" s="133"/>
    </row>
    <row r="8" spans="1:11" s="129" customFormat="1" ht="19.5" thickBot="1" x14ac:dyDescent="0.35">
      <c r="A8" s="87" t="s">
        <v>82</v>
      </c>
      <c r="B8" s="68"/>
      <c r="C8" s="68"/>
      <c r="D8" s="68"/>
      <c r="E8" s="68"/>
      <c r="F8" s="88"/>
      <c r="G8" s="68"/>
      <c r="H8" s="134"/>
    </row>
    <row r="9" spans="1:11" ht="19.5" thickBot="1" x14ac:dyDescent="0.35">
      <c r="A9" s="89" t="s">
        <v>83</v>
      </c>
      <c r="B9" s="90" t="s">
        <v>84</v>
      </c>
      <c r="C9" s="266" t="s">
        <v>85</v>
      </c>
      <c r="D9" s="267"/>
      <c r="E9" s="91" t="s">
        <v>86</v>
      </c>
      <c r="F9" s="92" t="s">
        <v>87</v>
      </c>
      <c r="G9" s="92" t="s">
        <v>88</v>
      </c>
      <c r="H9" s="135"/>
      <c r="J9" s="129"/>
      <c r="K9" s="129"/>
    </row>
    <row r="10" spans="1:11" x14ac:dyDescent="0.25">
      <c r="A10" s="93" t="s">
        <v>89</v>
      </c>
      <c r="B10" s="94"/>
      <c r="C10" s="94"/>
      <c r="D10" s="94"/>
      <c r="E10" s="95">
        <f>IF(F6="","",(IF(F6&gt;F7,F6,F7)))</f>
        <v>4.0999999999999996</v>
      </c>
      <c r="F10" s="96">
        <f>F4*E10</f>
        <v>35778.903763621398</v>
      </c>
      <c r="G10" s="97" t="e">
        <f>G4*E10</f>
        <v>#REF!</v>
      </c>
      <c r="H10" s="136"/>
      <c r="J10" s="129"/>
      <c r="K10" s="129"/>
    </row>
    <row r="11" spans="1:11" x14ac:dyDescent="0.25">
      <c r="A11" s="98" t="s">
        <v>90</v>
      </c>
      <c r="B11" s="99">
        <v>15</v>
      </c>
      <c r="C11" s="268" t="s">
        <v>91</v>
      </c>
      <c r="D11" s="268"/>
      <c r="E11" s="100"/>
      <c r="F11" s="101">
        <f>(F10/((1-B11%))*B11%)</f>
        <v>6313.9241935802465</v>
      </c>
      <c r="G11" s="102" t="e">
        <f>G10*B11%</f>
        <v>#REF!</v>
      </c>
      <c r="H11" s="136"/>
      <c r="J11" s="129"/>
      <c r="K11" s="129"/>
    </row>
    <row r="12" spans="1:11" x14ac:dyDescent="0.25">
      <c r="A12" s="103" t="s">
        <v>92</v>
      </c>
      <c r="B12" s="104"/>
      <c r="C12" s="105"/>
      <c r="D12" s="106"/>
      <c r="E12" s="100"/>
      <c r="F12" s="101">
        <f>F10</f>
        <v>35778.903763621398</v>
      </c>
      <c r="G12" s="102" t="e">
        <f>G10-G11</f>
        <v>#REF!</v>
      </c>
      <c r="H12" s="136"/>
      <c r="J12" s="129"/>
      <c r="K12" s="129"/>
    </row>
    <row r="13" spans="1:11" x14ac:dyDescent="0.25">
      <c r="A13" s="98" t="s">
        <v>93</v>
      </c>
      <c r="B13" s="99">
        <v>10</v>
      </c>
      <c r="C13" s="269" t="s">
        <v>94</v>
      </c>
      <c r="D13" s="269"/>
      <c r="E13" s="100"/>
      <c r="F13" s="101">
        <f>F14*B13%</f>
        <v>4430.8239954949104</v>
      </c>
      <c r="G13" s="107" t="e">
        <f>G14*B13%</f>
        <v>#REF!</v>
      </c>
      <c r="H13" s="136"/>
      <c r="I13" s="137"/>
      <c r="J13" s="129"/>
      <c r="K13" s="129"/>
    </row>
    <row r="14" spans="1:11" x14ac:dyDescent="0.25">
      <c r="A14" s="98" t="s">
        <v>95</v>
      </c>
      <c r="B14" s="108"/>
      <c r="C14" s="109"/>
      <c r="D14" s="110"/>
      <c r="E14" s="111">
        <f>+IF(F7="","",F7)</f>
        <v>4.0999999999999996</v>
      </c>
      <c r="F14" s="112">
        <f>(($F$4*$E$14)+F11)/(1-$B$16%)</f>
        <v>44308.239954949102</v>
      </c>
      <c r="G14" s="113" t="e">
        <f>(($G$4*$E$14))/(1-$B$16%)</f>
        <v>#REF!</v>
      </c>
      <c r="H14" s="136"/>
      <c r="I14" s="138"/>
      <c r="J14" s="129"/>
      <c r="K14" s="129"/>
    </row>
    <row r="15" spans="1:11" x14ac:dyDescent="0.25">
      <c r="A15" s="98" t="s">
        <v>96</v>
      </c>
      <c r="B15" s="108"/>
      <c r="C15" s="109"/>
      <c r="D15" s="110"/>
      <c r="E15" s="100"/>
      <c r="F15" s="112">
        <f>((1+B16%)/(1-B17%-B18%))*(F10+F11)</f>
        <v>48702.445570315955</v>
      </c>
      <c r="G15" s="114" t="e">
        <f>((1+B16%)/(1-B17%-B18%))*G10</f>
        <v>#REF!</v>
      </c>
      <c r="H15" s="180"/>
      <c r="I15" s="137"/>
      <c r="J15" s="129"/>
      <c r="K15" s="129"/>
    </row>
    <row r="16" spans="1:11" x14ac:dyDescent="0.25">
      <c r="A16" s="98" t="s">
        <v>97</v>
      </c>
      <c r="B16" s="99">
        <v>5</v>
      </c>
      <c r="C16" s="270" t="s">
        <v>94</v>
      </c>
      <c r="D16" s="270"/>
      <c r="E16" s="100"/>
      <c r="F16" s="101">
        <f>F14*B16%</f>
        <v>2215.4119977474552</v>
      </c>
      <c r="G16" s="107" t="e">
        <f>G14*B16%</f>
        <v>#REF!</v>
      </c>
      <c r="H16" s="136"/>
      <c r="J16" s="129"/>
      <c r="K16" s="129"/>
    </row>
    <row r="17" spans="1:11" x14ac:dyDescent="0.25">
      <c r="A17" s="98" t="s">
        <v>98</v>
      </c>
      <c r="B17" s="99">
        <v>1.65</v>
      </c>
      <c r="C17" s="270" t="s">
        <v>99</v>
      </c>
      <c r="D17" s="270"/>
      <c r="E17" s="100"/>
      <c r="F17" s="101">
        <f>F15*B17%</f>
        <v>803.59035191021326</v>
      </c>
      <c r="G17" s="107" t="e">
        <f>G15*B17%</f>
        <v>#REF!</v>
      </c>
      <c r="H17" s="136"/>
      <c r="J17" s="129"/>
      <c r="K17" s="129"/>
    </row>
    <row r="18" spans="1:11" ht="15.75" thickBot="1" x14ac:dyDescent="0.3">
      <c r="A18" s="115" t="s">
        <v>100</v>
      </c>
      <c r="B18" s="116">
        <v>7.6</v>
      </c>
      <c r="C18" s="254" t="s">
        <v>101</v>
      </c>
      <c r="D18" s="254"/>
      <c r="E18" s="117"/>
      <c r="F18" s="118">
        <f>F15*B18%</f>
        <v>3701.3858633440123</v>
      </c>
      <c r="G18" s="119" t="e">
        <f>G15*B18%</f>
        <v>#REF!</v>
      </c>
      <c r="H18" s="136"/>
      <c r="J18" s="129"/>
      <c r="K18" s="129"/>
    </row>
    <row r="19" spans="1:11" ht="15.75" thickBot="1" x14ac:dyDescent="0.3">
      <c r="A19" s="120" t="s">
        <v>125</v>
      </c>
      <c r="B19" s="121"/>
      <c r="C19" s="121"/>
      <c r="D19" s="121"/>
      <c r="E19" s="122"/>
      <c r="F19" s="123">
        <f>(IF(F4="","",((F11+F13+F16+F17+F18)/F10)))</f>
        <v>0.48814062380062945</v>
      </c>
      <c r="G19" s="124" t="e">
        <f>(IF(G4="","",((G13+G16+G17+G18)/G10)))</f>
        <v>#REF!</v>
      </c>
      <c r="H19" s="139"/>
      <c r="J19" s="129"/>
      <c r="K19" s="129"/>
    </row>
    <row r="20" spans="1:11" ht="15.75" thickBot="1" x14ac:dyDescent="0.3">
      <c r="J20" s="129"/>
      <c r="K20" s="129"/>
    </row>
    <row r="21" spans="1:11" s="140" customFormat="1" ht="15" customHeight="1" x14ac:dyDescent="0.25">
      <c r="A21" s="62" t="s">
        <v>65</v>
      </c>
      <c r="B21" s="63"/>
      <c r="C21" s="63"/>
      <c r="D21" s="63"/>
      <c r="E21" s="64"/>
      <c r="F21" s="126"/>
      <c r="G21" s="126"/>
      <c r="K21" s="129"/>
    </row>
    <row r="22" spans="1:11" s="140" customFormat="1" x14ac:dyDescent="0.25">
      <c r="A22" s="255" t="s">
        <v>66</v>
      </c>
      <c r="B22" s="256"/>
      <c r="C22" s="256"/>
      <c r="D22" s="256"/>
      <c r="E22" s="257"/>
      <c r="F22" s="126"/>
      <c r="G22" s="126"/>
      <c r="K22" s="129"/>
    </row>
    <row r="23" spans="1:11" ht="15.75" thickBot="1" x14ac:dyDescent="0.3">
      <c r="A23" s="258"/>
      <c r="B23" s="259"/>
      <c r="C23" s="259"/>
      <c r="D23" s="259"/>
      <c r="E23" s="260"/>
      <c r="K23" s="129"/>
    </row>
    <row r="24" spans="1:11" ht="75" x14ac:dyDescent="0.25">
      <c r="A24" s="51" t="s">
        <v>38</v>
      </c>
      <c r="B24" s="51"/>
      <c r="C24" s="51" t="s">
        <v>39</v>
      </c>
      <c r="D24" s="52" t="s">
        <v>40</v>
      </c>
    </row>
    <row r="25" spans="1:11" ht="60" x14ac:dyDescent="0.25">
      <c r="A25" s="53" t="s">
        <v>41</v>
      </c>
      <c r="B25" s="53"/>
      <c r="C25" s="54" t="s">
        <v>42</v>
      </c>
      <c r="D25" s="55" t="s">
        <v>43</v>
      </c>
    </row>
    <row r="26" spans="1:11" ht="30" x14ac:dyDescent="0.25">
      <c r="A26" s="53" t="s">
        <v>44</v>
      </c>
      <c r="B26" s="53"/>
      <c r="C26" s="54" t="s">
        <v>45</v>
      </c>
      <c r="D26" s="56" t="s">
        <v>46</v>
      </c>
      <c r="F26" s="126" t="s">
        <v>124</v>
      </c>
      <c r="G26" s="126" t="s">
        <v>124</v>
      </c>
    </row>
    <row r="27" spans="1:11" ht="30" x14ac:dyDescent="0.25">
      <c r="A27" s="53" t="s">
        <v>47</v>
      </c>
      <c r="B27" s="53"/>
      <c r="C27" s="54" t="s">
        <v>48</v>
      </c>
      <c r="D27" s="55" t="s">
        <v>49</v>
      </c>
      <c r="F27" s="112">
        <f>F10+F11+F16</f>
        <v>44308.239954949102</v>
      </c>
      <c r="G27" s="114" t="e">
        <f>G10+G16</f>
        <v>#REF!</v>
      </c>
    </row>
    <row r="28" spans="1:11" ht="33" customHeight="1" x14ac:dyDescent="0.25">
      <c r="A28" s="261" t="s">
        <v>50</v>
      </c>
      <c r="B28" s="57" t="s">
        <v>51</v>
      </c>
      <c r="C28" s="54" t="s">
        <v>52</v>
      </c>
      <c r="D28" s="263" t="s">
        <v>53</v>
      </c>
      <c r="F28" s="112">
        <f>F10+F11+F16+F17+F18</f>
        <v>48813.216170203326</v>
      </c>
      <c r="G28" s="114" t="e">
        <f>G10+G16+G17+G18</f>
        <v>#REF!</v>
      </c>
    </row>
    <row r="29" spans="1:11" ht="31.5" customHeight="1" x14ac:dyDescent="0.25">
      <c r="A29" s="262"/>
      <c r="B29" s="58" t="s">
        <v>54</v>
      </c>
      <c r="C29" s="54" t="s">
        <v>55</v>
      </c>
      <c r="D29" s="264"/>
      <c r="E29" s="126" t="s">
        <v>123</v>
      </c>
      <c r="F29" s="142">
        <f>F28/(F10+F11)</f>
        <v>1.1596563723357982</v>
      </c>
      <c r="G29" s="142" t="e">
        <f>G28/G10</f>
        <v>#REF!</v>
      </c>
    </row>
    <row r="30" spans="1:11" x14ac:dyDescent="0.25">
      <c r="A30" s="53" t="s">
        <v>56</v>
      </c>
      <c r="B30" s="53"/>
      <c r="C30" s="54" t="s">
        <v>57</v>
      </c>
      <c r="D30" s="55" t="s">
        <v>58</v>
      </c>
    </row>
    <row r="31" spans="1:11" x14ac:dyDescent="0.25">
      <c r="A31" s="53" t="s">
        <v>59</v>
      </c>
      <c r="B31" s="53"/>
      <c r="C31" s="54" t="s">
        <v>60</v>
      </c>
      <c r="D31" s="55" t="s">
        <v>61</v>
      </c>
    </row>
    <row r="32" spans="1:11" ht="15.75" thickBot="1" x14ac:dyDescent="0.3">
      <c r="A32" s="59" t="s">
        <v>62</v>
      </c>
      <c r="B32" s="59"/>
      <c r="C32" s="60" t="s">
        <v>63</v>
      </c>
      <c r="D32" s="61" t="s">
        <v>64</v>
      </c>
    </row>
    <row r="35" spans="1:3" x14ac:dyDescent="0.25">
      <c r="A35" s="141"/>
      <c r="B35" s="141"/>
      <c r="C35" s="141"/>
    </row>
    <row r="36" spans="1:3" x14ac:dyDescent="0.25">
      <c r="A36" s="141"/>
      <c r="B36" s="141"/>
      <c r="C36" s="141"/>
    </row>
  </sheetData>
  <mergeCells count="10">
    <mergeCell ref="C18:D18"/>
    <mergeCell ref="A22:E23"/>
    <mergeCell ref="A28:A29"/>
    <mergeCell ref="D28:D29"/>
    <mergeCell ref="I1:J1"/>
    <mergeCell ref="C9:D9"/>
    <mergeCell ref="C11:D11"/>
    <mergeCell ref="C13:D13"/>
    <mergeCell ref="C16:D16"/>
    <mergeCell ref="C17:D17"/>
  </mergeCells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Tabela 1 - Apenso 2 - Edital</vt:lpstr>
      <vt:lpstr>Detalhamento Valores - Módulos</vt:lpstr>
      <vt:lpstr>RESUMO (modificado)</vt:lpstr>
      <vt:lpstr>Português (modificado)</vt:lpstr>
      <vt:lpstr>RESUMO</vt:lpstr>
      <vt:lpstr>Português</vt:lpstr>
      <vt:lpstr>RESUMO!Area_de_impressao</vt:lpstr>
      <vt:lpstr>'RESUMO (modificado)'!Area_de_impressao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DOS SANTOS UCHOA</dc:creator>
  <cp:lastModifiedBy>Jesiel Gomes Ribeiro Filho</cp:lastModifiedBy>
  <cp:lastPrinted>2019-10-01T18:25:29Z</cp:lastPrinted>
  <dcterms:created xsi:type="dcterms:W3CDTF">2012-02-28T14:17:15Z</dcterms:created>
  <dcterms:modified xsi:type="dcterms:W3CDTF">2019-10-22T19:02:43Z</dcterms:modified>
</cp:coreProperties>
</file>